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5506" windowWidth="5910" windowHeight="6525" tabRatio="698" activeTab="0"/>
  </bookViews>
  <sheets>
    <sheet name="AIRFLOW" sheetId="1" r:id="rId1"/>
  </sheets>
  <definedNames>
    <definedName name="\p" localSheetId="0">'AIRFLOW'!$A$98:$A$159</definedName>
    <definedName name="\p">#REF!</definedName>
    <definedName name="__123Graph_A" hidden="1">'AIRFLOW'!$BM$40:$BM$114</definedName>
    <definedName name="__123Graph_APOLYNOM" localSheetId="0" hidden="1">'AIRFLOW'!$BE$116:$CC$116</definedName>
    <definedName name="__123Graph_APQCURVE" localSheetId="0" hidden="1">'AIRFLOW'!$BM$40:$BM$114</definedName>
    <definedName name="__123Graph_B" hidden="1">'AIRFLOW'!$BN$40:$BN$114</definedName>
    <definedName name="__123Graph_BPOLYNOM" localSheetId="0" hidden="1">'AIRFLOW'!$BE$115:$CC$115</definedName>
    <definedName name="__123Graph_BPQCURVE" localSheetId="0" hidden="1">'AIRFLOW'!$BN$40:$BN$114</definedName>
    <definedName name="__123Graph_X" hidden="1">'AIRFLOW'!$BL$40:$BL$114</definedName>
    <definedName name="__123Graph_XPOLYNOM" localSheetId="0" hidden="1">'AIRFLOW'!$BE$114:$CC$114</definedName>
    <definedName name="__123Graph_XPQCURVE" localSheetId="0" hidden="1">'AIRFLOW'!$BL$40:$BL$114</definedName>
    <definedName name="_Regression_Int" localSheetId="0" hidden="1">1</definedName>
    <definedName name="CNTR1" localSheetId="0">'AIRFLOW'!$H$112</definedName>
    <definedName name="CNTR1">#REF!</definedName>
    <definedName name="CNTR2" localSheetId="0">'AIRFLOW'!$I$112</definedName>
    <definedName name="CNTR2">#REF!</definedName>
    <definedName name="CNTR3" localSheetId="0">'AIRFLOW'!$J$112</definedName>
    <definedName name="CNTR3">#REF!</definedName>
    <definedName name="COUNTER" localSheetId="0">'AIRFLOW'!$H$110</definedName>
    <definedName name="COUNTER">#REF!</definedName>
    <definedName name="look" localSheetId="0">'AIRFLOW'!$BA$46</definedName>
    <definedName name="look">#REF!</definedName>
    <definedName name="_xlnm.Print_Area" localSheetId="0">'AIRFLOW'!$A$1:$M$89</definedName>
    <definedName name="Print_Area_MI" localSheetId="0">'AIRFLOW'!$A$1:$O$60</definedName>
    <definedName name="RESET" localSheetId="0">'AIRFLOW'!$H$108</definedName>
    <definedName name="RESET">#REF!</definedName>
  </definedNames>
  <calcPr fullCalcOnLoad="1"/>
</workbook>
</file>

<file path=xl/sharedStrings.xml><?xml version="1.0" encoding="utf-8"?>
<sst xmlns="http://schemas.openxmlformats.org/spreadsheetml/2006/main" count="170" uniqueCount="117">
  <si>
    <t>BAROMETRIC</t>
  </si>
  <si>
    <t>WET</t>
  </si>
  <si>
    <t xml:space="preserve"> DRY</t>
  </si>
  <si>
    <t>PRESSURE("Hg)</t>
  </si>
  <si>
    <t>BULB(°F)</t>
  </si>
  <si>
    <t>DR</t>
  </si>
  <si>
    <t>CS</t>
  </si>
  <si>
    <t>CP</t>
  </si>
  <si>
    <t>Pt</t>
  </si>
  <si>
    <t>Cg</t>
  </si>
  <si>
    <t>Ps</t>
  </si>
  <si>
    <t>CORR.</t>
  </si>
  <si>
    <t>AIR</t>
  </si>
  <si>
    <t>ORIFICE</t>
  </si>
  <si>
    <t>SUCTION</t>
  </si>
  <si>
    <t>INPUT</t>
  </si>
  <si>
    <t>FLOW</t>
  </si>
  <si>
    <t>K</t>
  </si>
  <si>
    <t>(Inches)</t>
  </si>
  <si>
    <t>AMPS</t>
  </si>
  <si>
    <t>WATTS</t>
  </si>
  <si>
    <t>RPM'S</t>
  </si>
  <si>
    <t>(CFM)</t>
  </si>
  <si>
    <t>H.P.</t>
  </si>
  <si>
    <t>COEFF.</t>
  </si>
  <si>
    <t>R</t>
  </si>
  <si>
    <t>Orifice</t>
  </si>
  <si>
    <t>Peak</t>
  </si>
  <si>
    <t>CFM</t>
  </si>
  <si>
    <t>Air Watts</t>
  </si>
  <si>
    <t>x—u2</t>
  </si>
  <si>
    <t>x—u3</t>
  </si>
  <si>
    <t>x—u4</t>
  </si>
  <si>
    <t>x—u5</t>
  </si>
  <si>
    <t>x—u6</t>
  </si>
  <si>
    <t>x*y</t>
  </si>
  <si>
    <t>x—u2˜*y</t>
  </si>
  <si>
    <t>x—u3˜*y</t>
  </si>
  <si>
    <t>k—d0</t>
  </si>
  <si>
    <t>k—d1</t>
  </si>
  <si>
    <t>k—d2</t>
  </si>
  <si>
    <t>k—d3</t>
  </si>
  <si>
    <t>k—d4</t>
  </si>
  <si>
    <t>k—d5</t>
  </si>
  <si>
    <t>k—d6</t>
  </si>
  <si>
    <t>k—d7</t>
  </si>
  <si>
    <t>k—d8</t>
  </si>
  <si>
    <t>k—d9</t>
  </si>
  <si>
    <t>k—d10</t>
  </si>
  <si>
    <t>c—d0</t>
  </si>
  <si>
    <t>d—d0</t>
  </si>
  <si>
    <t>c—d1</t>
  </si>
  <si>
    <t>d—d1</t>
  </si>
  <si>
    <t>c—d2</t>
  </si>
  <si>
    <t>d—d2</t>
  </si>
  <si>
    <t>c—d3</t>
  </si>
  <si>
    <t>d—d3</t>
  </si>
  <si>
    <t>c—d4</t>
  </si>
  <si>
    <t>d—d4</t>
  </si>
  <si>
    <t>c—d5</t>
  </si>
  <si>
    <t>d—d5</t>
  </si>
  <si>
    <t>c—d6</t>
  </si>
  <si>
    <t>c—d7</t>
  </si>
  <si>
    <t>c—d8</t>
  </si>
  <si>
    <t>c—d9</t>
  </si>
  <si>
    <t>c—d10</t>
  </si>
  <si>
    <t>c—d11</t>
  </si>
  <si>
    <t>a—d3</t>
  </si>
  <si>
    <t>a—d2</t>
  </si>
  <si>
    <t>a—d1</t>
  </si>
  <si>
    <t>a—d0</t>
  </si>
  <si>
    <t>Xmax</t>
  </si>
  <si>
    <t>Ymax</t>
  </si>
  <si>
    <t>Ycal</t>
  </si>
  <si>
    <t>Yobs-Ycal^2</t>
  </si>
  <si>
    <t>Yobs-Yavg^2</t>
  </si>
  <si>
    <t>R—u2</t>
  </si>
  <si>
    <t>Max. Error</t>
  </si>
  <si>
    <t>JPC/EXCEL/AIRFLOW.XLS</t>
  </si>
  <si>
    <r>
      <t>P</t>
    </r>
    <r>
      <rPr>
        <b/>
        <vertAlign val="subscript"/>
        <sz val="12"/>
        <rFont val="Helv"/>
        <family val="0"/>
      </rPr>
      <t>-3</t>
    </r>
  </si>
  <si>
    <r>
      <t>P</t>
    </r>
    <r>
      <rPr>
        <b/>
        <vertAlign val="subscript"/>
        <sz val="12"/>
        <rFont val="Helv"/>
        <family val="0"/>
      </rPr>
      <t>-2</t>
    </r>
  </si>
  <si>
    <r>
      <t>P</t>
    </r>
    <r>
      <rPr>
        <b/>
        <vertAlign val="subscript"/>
        <sz val="12"/>
        <rFont val="Helv"/>
        <family val="0"/>
      </rPr>
      <t>-1</t>
    </r>
  </si>
  <si>
    <r>
      <t>P</t>
    </r>
    <r>
      <rPr>
        <b/>
        <vertAlign val="subscript"/>
        <sz val="12"/>
        <rFont val="Helv"/>
        <family val="0"/>
      </rPr>
      <t>+1</t>
    </r>
  </si>
  <si>
    <r>
      <t>P</t>
    </r>
    <r>
      <rPr>
        <b/>
        <vertAlign val="subscript"/>
        <sz val="12"/>
        <rFont val="Helv"/>
        <family val="0"/>
      </rPr>
      <t>+2</t>
    </r>
  </si>
  <si>
    <r>
      <t>P</t>
    </r>
    <r>
      <rPr>
        <b/>
        <vertAlign val="subscript"/>
        <sz val="12"/>
        <rFont val="Helv"/>
        <family val="0"/>
      </rPr>
      <t>+3</t>
    </r>
  </si>
  <si>
    <t>OVERALL</t>
  </si>
  <si>
    <t>EFF.(%)</t>
  </si>
  <si>
    <t xml:space="preserve">  Maximum Error (AW)  </t>
  </si>
  <si>
    <t xml:space="preserve">       Peak Airwatts       </t>
  </si>
  <si>
    <t>CORRECTED BAROMETRIC PRESSURE ("Hg)=</t>
  </si>
  <si>
    <t>BAROMETRIC TEMPERATURE (°F) =</t>
  </si>
  <si>
    <t>Torque (in-lb)</t>
  </si>
  <si>
    <t>k</t>
  </si>
  <si>
    <r>
      <t xml:space="preserve">  R</t>
    </r>
    <r>
      <rPr>
        <b/>
        <u val="single"/>
        <vertAlign val="superscript"/>
        <sz val="12"/>
        <rFont val="Helv"/>
        <family val="0"/>
      </rPr>
      <t>2</t>
    </r>
    <r>
      <rPr>
        <b/>
        <u val="single"/>
        <sz val="12"/>
        <rFont val="Helv"/>
        <family val="0"/>
      </rPr>
      <t xml:space="preserve"> ("goodness of fit")  </t>
    </r>
  </si>
  <si>
    <r>
      <t>("H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</si>
  <si>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(mm)</t>
  </si>
  <si>
    <r>
      <t>(mm 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</si>
  <si>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(L/sec)</t>
  </si>
  <si>
    <t>Metric Data</t>
  </si>
  <si>
    <t>POLYNOMIAL PEAK AIRWATTS:</t>
  </si>
  <si>
    <t>AIRFLOW</t>
  </si>
  <si>
    <t>PERFORMANCE</t>
  </si>
  <si>
    <t>Volts =</t>
  </si>
  <si>
    <t>(cu m/h)</t>
  </si>
  <si>
    <t>(kPa)</t>
  </si>
  <si>
    <t xml:space="preserve">min sealed vac correction factor = </t>
  </si>
  <si>
    <t>max open watts corr factor =</t>
  </si>
  <si>
    <t xml:space="preserve">Min sealed vac= </t>
  </si>
  <si>
    <r>
      <t>in H</t>
    </r>
    <r>
      <rPr>
        <vertAlign val="subscript"/>
        <sz val="12"/>
        <rFont val="Helv"/>
        <family val="0"/>
      </rPr>
      <t>2</t>
    </r>
    <r>
      <rPr>
        <sz val="12"/>
        <rFont val="Helv"/>
        <family val="0"/>
      </rPr>
      <t>O</t>
    </r>
  </si>
  <si>
    <r>
      <t>mm H</t>
    </r>
    <r>
      <rPr>
        <vertAlign val="subscript"/>
        <sz val="12"/>
        <rFont val="Helv"/>
        <family val="0"/>
      </rPr>
      <t>2</t>
    </r>
    <r>
      <rPr>
        <sz val="12"/>
        <rFont val="Helv"/>
        <family val="0"/>
      </rPr>
      <t>O</t>
    </r>
  </si>
  <si>
    <t>Max open watts =</t>
  </si>
  <si>
    <t>watts</t>
  </si>
  <si>
    <t>kPa</t>
  </si>
  <si>
    <t>LIGHTHOUSE</t>
  </si>
  <si>
    <t>VACUUM</t>
  </si>
  <si>
    <t>MOTORS</t>
  </si>
  <si>
    <t>LH6407-13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</si>
</sst>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0.00000_)"/>
    <numFmt numFmtId="167" formatCode="0.000_)"/>
    <numFmt numFmtId="168" formatCode="0_)"/>
    <numFmt numFmtId="169" formatCode="0.0000_)"/>
    <numFmt numFmtId="170" formatCode="0.0000"/>
    <numFmt numFmtId="171" formatCode="0.0"/>
    <numFmt numFmtId="172" formatCode="0.000_);\(0.000\)"/>
    <numFmt numFmtId="173" formatCode="0.000"/>
    <numFmt numFmtId="174" formatCode="0.00000"/>
    <numFmt numFmtId="175" formatCode="0.000000"/>
  </numFmts>
  <fonts count="35">
    <font>
      <sz val="12"/>
      <name val="Helv"/>
      <family val="0"/>
    </font>
    <font>
      <sz val="10"/>
      <name val="Arial"/>
      <family val="0"/>
    </font>
    <font>
      <sz val="12"/>
      <color indexed="12"/>
      <name val="Helv"/>
      <family val="0"/>
    </font>
    <font>
      <b/>
      <sz val="12"/>
      <name val="Helv"/>
      <family val="0"/>
    </font>
    <font>
      <sz val="8"/>
      <name val="Tms Rmn"/>
      <family val="0"/>
    </font>
    <font>
      <b/>
      <i/>
      <sz val="12"/>
      <name val="Helv"/>
      <family val="0"/>
    </font>
    <font>
      <sz val="12"/>
      <color indexed="10"/>
      <name val="Helv"/>
      <family val="0"/>
    </font>
    <font>
      <b/>
      <sz val="12"/>
      <color indexed="12"/>
      <name val="Helv"/>
      <family val="0"/>
    </font>
    <font>
      <b/>
      <vertAlign val="subscript"/>
      <sz val="12"/>
      <name val="Helv"/>
      <family val="0"/>
    </font>
    <font>
      <b/>
      <sz val="10"/>
      <name val="Helv"/>
      <family val="0"/>
    </font>
    <font>
      <vertAlign val="subscript"/>
      <sz val="10"/>
      <name val="Arial"/>
      <family val="2"/>
    </font>
    <font>
      <b/>
      <sz val="11"/>
      <name val="Helv"/>
      <family val="0"/>
    </font>
    <font>
      <b/>
      <sz val="8"/>
      <name val="Helv"/>
      <family val="0"/>
    </font>
    <font>
      <u val="single"/>
      <sz val="12"/>
      <name val="Helv"/>
      <family val="0"/>
    </font>
    <font>
      <b/>
      <sz val="14"/>
      <name val="Helv"/>
      <family val="0"/>
    </font>
    <font>
      <b/>
      <u val="single"/>
      <sz val="12"/>
      <name val="Helv"/>
      <family val="0"/>
    </font>
    <font>
      <b/>
      <u val="single"/>
      <vertAlign val="superscript"/>
      <sz val="12"/>
      <name val="Helv"/>
      <family val="0"/>
    </font>
    <font>
      <b/>
      <sz val="18"/>
      <name val="Helv"/>
      <family val="0"/>
    </font>
    <font>
      <sz val="14"/>
      <color indexed="12"/>
      <name val="Helv"/>
      <family val="0"/>
    </font>
    <font>
      <sz val="18"/>
      <name val="Helv"/>
      <family val="0"/>
    </font>
    <font>
      <sz val="10"/>
      <name val="Helv"/>
      <family val="0"/>
    </font>
    <font>
      <b/>
      <sz val="16"/>
      <name val="Helv"/>
      <family val="0"/>
    </font>
    <font>
      <sz val="14"/>
      <name val="Helv"/>
      <family val="0"/>
    </font>
    <font>
      <b/>
      <sz val="20"/>
      <name val="Helv"/>
      <family val="0"/>
    </font>
    <font>
      <sz val="18"/>
      <color indexed="12"/>
      <name val="Helv"/>
      <family val="0"/>
    </font>
    <font>
      <b/>
      <sz val="14"/>
      <color indexed="12"/>
      <name val="Helv"/>
      <family val="0"/>
    </font>
    <font>
      <b/>
      <sz val="16"/>
      <name val="Arial"/>
      <family val="2"/>
    </font>
    <font>
      <b/>
      <sz val="18"/>
      <color indexed="8"/>
      <name val="Helv"/>
      <family val="0"/>
    </font>
    <font>
      <b/>
      <sz val="12"/>
      <color indexed="8"/>
      <name val="Helv"/>
      <family val="0"/>
    </font>
    <font>
      <sz val="12"/>
      <color indexed="8"/>
      <name val="Helv"/>
      <family val="0"/>
    </font>
    <font>
      <b/>
      <sz val="14"/>
      <color indexed="10"/>
      <name val="Helv"/>
      <family val="0"/>
    </font>
    <font>
      <vertAlign val="subscript"/>
      <sz val="12"/>
      <name val="Helv"/>
      <family val="0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b/>
      <sz val="24"/>
      <name val="Helv"/>
      <family val="0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double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/>
      <top>
        <color indexed="63"/>
      </top>
      <bottom style="double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75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2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166" fontId="0" fillId="0" borderId="0" xfId="0" applyNumberFormat="1" applyAlignment="1" applyProtection="1">
      <alignment/>
      <protection/>
    </xf>
    <xf numFmtId="166" fontId="0" fillId="0" borderId="0" xfId="0" applyNumberFormat="1" applyAlignment="1" applyProtection="1">
      <alignment horizontal="center"/>
      <protection/>
    </xf>
    <xf numFmtId="164" fontId="0" fillId="0" borderId="0" xfId="0" applyNumberFormat="1" applyAlignment="1" applyProtection="1">
      <alignment/>
      <protection/>
    </xf>
    <xf numFmtId="165" fontId="0" fillId="0" borderId="0" xfId="0" applyNumberFormat="1" applyAlignment="1" applyProtection="1">
      <alignment/>
      <protection/>
    </xf>
    <xf numFmtId="39" fontId="0" fillId="0" borderId="0" xfId="0" applyNumberFormat="1" applyAlignment="1" applyProtection="1">
      <alignment/>
      <protection/>
    </xf>
    <xf numFmtId="169" fontId="0" fillId="0" borderId="0" xfId="0" applyNumberFormat="1" applyAlignment="1" applyProtection="1">
      <alignment/>
      <protection/>
    </xf>
    <xf numFmtId="165" fontId="7" fillId="0" borderId="1" xfId="0" applyNumberFormat="1" applyFont="1" applyBorder="1" applyAlignment="1" applyProtection="1">
      <alignment horizontal="center"/>
      <protection locked="0"/>
    </xf>
    <xf numFmtId="164" fontId="7" fillId="0" borderId="1" xfId="0" applyNumberFormat="1" applyFont="1" applyBorder="1" applyAlignment="1" applyProtection="1">
      <alignment horizontal="center"/>
      <protection locked="0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Continuous"/>
    </xf>
    <xf numFmtId="0" fontId="7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164" fontId="7" fillId="0" borderId="0" xfId="0" applyNumberFormat="1" applyFont="1" applyAlignment="1" applyProtection="1">
      <alignment/>
      <protection locked="0"/>
    </xf>
    <xf numFmtId="0" fontId="3" fillId="0" borderId="1" xfId="0" applyFont="1" applyBorder="1" applyAlignment="1" applyProtection="1">
      <alignment horizontal="left"/>
      <protection/>
    </xf>
    <xf numFmtId="0" fontId="3" fillId="0" borderId="2" xfId="0" applyFont="1" applyBorder="1" applyAlignment="1" applyProtection="1">
      <alignment horizontal="centerContinuous"/>
      <protection/>
    </xf>
    <xf numFmtId="0" fontId="3" fillId="0" borderId="2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left"/>
      <protection/>
    </xf>
    <xf numFmtId="0" fontId="3" fillId="0" borderId="3" xfId="0" applyFont="1" applyBorder="1" applyAlignment="1" applyProtection="1">
      <alignment horizontal="centerContinuous"/>
      <protection/>
    </xf>
    <xf numFmtId="0" fontId="9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Border="1" applyAlignment="1">
      <alignment/>
    </xf>
    <xf numFmtId="0" fontId="3" fillId="0" borderId="0" xfId="0" applyFont="1" applyBorder="1" applyAlignment="1" applyProtection="1">
      <alignment horizontal="center"/>
      <protection/>
    </xf>
    <xf numFmtId="167" fontId="3" fillId="0" borderId="0" xfId="0" applyNumberFormat="1" applyFont="1" applyBorder="1" applyAlignment="1" applyProtection="1">
      <alignment/>
      <protection/>
    </xf>
    <xf numFmtId="0" fontId="6" fillId="0" borderId="0" xfId="0" applyFont="1" applyFill="1" applyBorder="1" applyAlignment="1">
      <alignment/>
    </xf>
    <xf numFmtId="0" fontId="12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 horizontal="right"/>
      <protection/>
    </xf>
    <xf numFmtId="0" fontId="12" fillId="0" borderId="0" xfId="0" applyFont="1" applyAlignment="1" applyProtection="1" quotePrefix="1">
      <alignment horizontal="right"/>
      <protection/>
    </xf>
    <xf numFmtId="0" fontId="0" fillId="0" borderId="0" xfId="0" applyAlignment="1" applyProtection="1" quotePrefix="1">
      <alignment horizontal="left"/>
      <protection/>
    </xf>
    <xf numFmtId="0" fontId="2" fillId="0" borderId="0" xfId="0" applyFont="1" applyAlignment="1" applyProtection="1">
      <alignment/>
      <protection locked="0"/>
    </xf>
    <xf numFmtId="0" fontId="3" fillId="0" borderId="4" xfId="0" applyFont="1" applyBorder="1" applyAlignment="1" applyProtection="1">
      <alignment/>
      <protection/>
    </xf>
    <xf numFmtId="164" fontId="7" fillId="0" borderId="5" xfId="0" applyNumberFormat="1" applyFont="1" applyBorder="1" applyAlignment="1" applyProtection="1">
      <alignment/>
      <protection locked="0"/>
    </xf>
    <xf numFmtId="0" fontId="2" fillId="0" borderId="0" xfId="0" applyFont="1" applyAlignment="1" applyProtection="1">
      <alignment horizontal="right"/>
      <protection locked="0"/>
    </xf>
    <xf numFmtId="164" fontId="7" fillId="0" borderId="0" xfId="0" applyNumberFormat="1" applyFont="1" applyBorder="1" applyAlignment="1" applyProtection="1">
      <alignment/>
      <protection locked="0"/>
    </xf>
    <xf numFmtId="167" fontId="3" fillId="0" borderId="0" xfId="0" applyNumberFormat="1" applyFont="1" applyAlignment="1" applyProtection="1">
      <alignment horizontal="left"/>
      <protection/>
    </xf>
    <xf numFmtId="165" fontId="7" fillId="0" borderId="6" xfId="0" applyNumberFormat="1" applyFont="1" applyBorder="1" applyAlignment="1" applyProtection="1">
      <alignment horizontal="left"/>
      <protection locked="0"/>
    </xf>
    <xf numFmtId="0" fontId="13" fillId="0" borderId="0" xfId="0" applyFont="1" applyAlignment="1">
      <alignment horizontal="center"/>
    </xf>
    <xf numFmtId="164" fontId="11" fillId="0" borderId="0" xfId="0" applyNumberFormat="1" applyFont="1" applyAlignment="1" applyProtection="1">
      <alignment horizontal="center"/>
      <protection/>
    </xf>
    <xf numFmtId="167" fontId="15" fillId="0" borderId="0" xfId="0" applyNumberFormat="1" applyFont="1" applyBorder="1" applyAlignment="1" applyProtection="1" quotePrefix="1">
      <alignment horizontal="center"/>
      <protection/>
    </xf>
    <xf numFmtId="2" fontId="7" fillId="0" borderId="0" xfId="0" applyNumberFormat="1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/>
      <protection/>
    </xf>
    <xf numFmtId="0" fontId="9" fillId="0" borderId="0" xfId="0" applyFont="1" applyBorder="1" applyAlignment="1" applyProtection="1" quotePrefix="1">
      <alignment horizontal="center"/>
      <protection/>
    </xf>
    <xf numFmtId="2" fontId="3" fillId="0" borderId="0" xfId="0" applyNumberFormat="1" applyFont="1" applyBorder="1" applyAlignment="1" applyProtection="1">
      <alignment horizontal="center"/>
      <protection/>
    </xf>
    <xf numFmtId="167" fontId="3" fillId="0" borderId="0" xfId="0" applyNumberFormat="1" applyFont="1" applyBorder="1" applyAlignment="1" applyProtection="1">
      <alignment/>
      <protection locked="0"/>
    </xf>
    <xf numFmtId="167" fontId="15" fillId="0" borderId="0" xfId="0" applyNumberFormat="1" applyFont="1" applyBorder="1" applyAlignment="1" applyProtection="1" quotePrefix="1">
      <alignment horizontal="center"/>
      <protection locked="0"/>
    </xf>
    <xf numFmtId="167" fontId="7" fillId="0" borderId="0" xfId="0" applyNumberFormat="1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2" fontId="3" fillId="0" borderId="0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3" fillId="0" borderId="7" xfId="0" applyFont="1" applyBorder="1" applyAlignment="1" applyProtection="1">
      <alignment horizontal="center"/>
      <protection/>
    </xf>
    <xf numFmtId="0" fontId="3" fillId="0" borderId="8" xfId="0" applyFont="1" applyBorder="1" applyAlignment="1" applyProtection="1">
      <alignment horizontal="center"/>
      <protection/>
    </xf>
    <xf numFmtId="0" fontId="3" fillId="0" borderId="9" xfId="0" applyFont="1" applyBorder="1" applyAlignment="1" applyProtection="1">
      <alignment horizontal="center"/>
      <protection/>
    </xf>
    <xf numFmtId="0" fontId="3" fillId="0" borderId="8" xfId="0" applyFont="1" applyBorder="1" applyAlignment="1" applyProtection="1" quotePrefix="1">
      <alignment horizontal="centerContinuous"/>
      <protection/>
    </xf>
    <xf numFmtId="0" fontId="3" fillId="0" borderId="10" xfId="0" applyFont="1" applyBorder="1" applyAlignment="1" applyProtection="1">
      <alignment horizontal="center"/>
      <protection/>
    </xf>
    <xf numFmtId="2" fontId="25" fillId="0" borderId="5" xfId="0" applyNumberFormat="1" applyFont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center"/>
      <protection/>
    </xf>
    <xf numFmtId="0" fontId="11" fillId="0" borderId="12" xfId="0" applyFont="1" applyBorder="1" applyAlignment="1" applyProtection="1">
      <alignment horizontal="center"/>
      <protection/>
    </xf>
    <xf numFmtId="0" fontId="11" fillId="0" borderId="12" xfId="0" applyFont="1" applyBorder="1" applyAlignment="1" applyProtection="1" quotePrefix="1">
      <alignment horizontal="center"/>
      <protection/>
    </xf>
    <xf numFmtId="0" fontId="3" fillId="0" borderId="9" xfId="0" applyFont="1" applyBorder="1" applyAlignment="1" applyProtection="1" quotePrefix="1">
      <alignment horizontal="center"/>
      <protection/>
    </xf>
    <xf numFmtId="0" fontId="3" fillId="0" borderId="8" xfId="0" applyFont="1" applyBorder="1" applyAlignment="1" applyProtection="1" quotePrefix="1">
      <alignment horizontal="center"/>
      <protection/>
    </xf>
    <xf numFmtId="171" fontId="25" fillId="0" borderId="5" xfId="0" applyNumberFormat="1" applyFont="1" applyBorder="1" applyAlignment="1" applyProtection="1">
      <alignment horizontal="center"/>
      <protection locked="0"/>
    </xf>
    <xf numFmtId="0" fontId="17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/>
      <protection/>
    </xf>
    <xf numFmtId="0" fontId="3" fillId="0" borderId="13" xfId="0" applyFont="1" applyBorder="1" applyAlignment="1" applyProtection="1">
      <alignment horizontal="center"/>
      <protection/>
    </xf>
    <xf numFmtId="2" fontId="25" fillId="0" borderId="14" xfId="0" applyNumberFormat="1" applyFont="1" applyBorder="1" applyAlignment="1" applyProtection="1">
      <alignment horizontal="center"/>
      <protection locked="0"/>
    </xf>
    <xf numFmtId="2" fontId="25" fillId="0" borderId="5" xfId="0" applyNumberFormat="1" applyFont="1" applyBorder="1" applyAlignment="1" applyProtection="1">
      <alignment/>
      <protection locked="0"/>
    </xf>
    <xf numFmtId="2" fontId="25" fillId="0" borderId="14" xfId="0" applyNumberFormat="1" applyFont="1" applyBorder="1" applyAlignment="1" applyProtection="1">
      <alignment/>
      <protection locked="0"/>
    </xf>
    <xf numFmtId="171" fontId="0" fillId="0" borderId="5" xfId="0" applyNumberFormat="1" applyFont="1" applyBorder="1" applyAlignment="1" applyProtection="1">
      <alignment/>
      <protection/>
    </xf>
    <xf numFmtId="1" fontId="0" fillId="0" borderId="5" xfId="0" applyNumberFormat="1" applyFont="1" applyBorder="1" applyAlignment="1" applyProtection="1">
      <alignment horizontal="center"/>
      <protection/>
    </xf>
    <xf numFmtId="171" fontId="0" fillId="0" borderId="5" xfId="0" applyNumberFormat="1" applyFont="1" applyBorder="1" applyAlignment="1" applyProtection="1">
      <alignment horizontal="center"/>
      <protection/>
    </xf>
    <xf numFmtId="173" fontId="0" fillId="0" borderId="5" xfId="0" applyNumberFormat="1" applyFont="1" applyBorder="1" applyAlignment="1" applyProtection="1">
      <alignment horizontal="center"/>
      <protection/>
    </xf>
    <xf numFmtId="2" fontId="0" fillId="0" borderId="5" xfId="0" applyNumberFormat="1" applyFont="1" applyBorder="1" applyAlignment="1" applyProtection="1">
      <alignment horizontal="center"/>
      <protection/>
    </xf>
    <xf numFmtId="171" fontId="29" fillId="0" borderId="5" xfId="0" applyNumberFormat="1" applyFont="1" applyBorder="1" applyAlignment="1" applyProtection="1">
      <alignment/>
      <protection/>
    </xf>
    <xf numFmtId="1" fontId="29" fillId="0" borderId="5" xfId="0" applyNumberFormat="1" applyFont="1" applyBorder="1" applyAlignment="1" applyProtection="1">
      <alignment horizontal="center"/>
      <protection/>
    </xf>
    <xf numFmtId="2" fontId="29" fillId="0" borderId="5" xfId="0" applyNumberFormat="1" applyFont="1" applyBorder="1" applyAlignment="1" applyProtection="1">
      <alignment horizontal="center"/>
      <protection/>
    </xf>
    <xf numFmtId="171" fontId="29" fillId="0" borderId="5" xfId="0" applyNumberFormat="1" applyFont="1" applyBorder="1" applyAlignment="1" applyProtection="1">
      <alignment horizontal="center"/>
      <protection/>
    </xf>
    <xf numFmtId="173" fontId="29" fillId="0" borderId="5" xfId="0" applyNumberFormat="1" applyFont="1" applyBorder="1" applyAlignment="1" applyProtection="1">
      <alignment horizontal="center"/>
      <protection/>
    </xf>
    <xf numFmtId="0" fontId="0" fillId="0" borderId="5" xfId="0" applyFont="1" applyBorder="1" applyAlignment="1" applyProtection="1">
      <alignment vertical="center"/>
      <protection/>
    </xf>
    <xf numFmtId="171" fontId="0" fillId="0" borderId="5" xfId="0" applyNumberFormat="1" applyFont="1" applyBorder="1" applyAlignment="1" applyProtection="1">
      <alignment horizontal="center" vertical="center"/>
      <protection/>
    </xf>
    <xf numFmtId="1" fontId="0" fillId="0" borderId="5" xfId="0" applyNumberFormat="1" applyFont="1" applyBorder="1" applyAlignment="1" applyProtection="1">
      <alignment horizontal="center" vertical="center"/>
      <protection/>
    </xf>
    <xf numFmtId="2" fontId="0" fillId="0" borderId="5" xfId="0" applyNumberFormat="1" applyFont="1" applyBorder="1" applyAlignment="1" applyProtection="1">
      <alignment horizontal="center" vertical="center"/>
      <protection/>
    </xf>
    <xf numFmtId="173" fontId="0" fillId="0" borderId="5" xfId="0" applyNumberFormat="1" applyFont="1" applyBorder="1" applyAlignment="1" applyProtection="1">
      <alignment horizontal="center" vertical="center"/>
      <protection/>
    </xf>
    <xf numFmtId="2" fontId="0" fillId="0" borderId="14" xfId="0" applyNumberFormat="1" applyFont="1" applyBorder="1" applyAlignment="1" applyProtection="1">
      <alignment horizontal="center" vertical="center"/>
      <protection/>
    </xf>
    <xf numFmtId="173" fontId="0" fillId="0" borderId="14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left"/>
      <protection/>
    </xf>
    <xf numFmtId="0" fontId="0" fillId="0" borderId="8" xfId="0" applyFont="1" applyBorder="1" applyAlignment="1" applyProtection="1">
      <alignment horizontal="left"/>
      <protection/>
    </xf>
    <xf numFmtId="0" fontId="30" fillId="0" borderId="0" xfId="0" applyFont="1" applyBorder="1" applyAlignment="1" applyProtection="1">
      <alignment horizontal="left"/>
      <protection/>
    </xf>
    <xf numFmtId="0" fontId="14" fillId="0" borderId="0" xfId="0" applyFont="1" applyBorder="1" applyAlignment="1" applyProtection="1">
      <alignment horizontal="center"/>
      <protection/>
    </xf>
    <xf numFmtId="0" fontId="21" fillId="0" borderId="0" xfId="0" applyFont="1" applyAlignment="1" applyProtection="1" quotePrefix="1">
      <alignment/>
      <protection/>
    </xf>
    <xf numFmtId="0" fontId="17" fillId="0" borderId="0" xfId="0" applyFont="1" applyBorder="1" applyAlignment="1" applyProtection="1" quotePrefix="1">
      <alignment/>
      <protection/>
    </xf>
    <xf numFmtId="0" fontId="13" fillId="0" borderId="0" xfId="0" applyFont="1" applyBorder="1" applyAlignment="1" applyProtection="1">
      <alignment horizontal="center"/>
      <protection/>
    </xf>
    <xf numFmtId="0" fontId="26" fillId="0" borderId="0" xfId="0" applyFont="1" applyBorder="1" applyAlignment="1" applyProtection="1" quotePrefix="1">
      <alignment/>
      <protection/>
    </xf>
    <xf numFmtId="0" fontId="22" fillId="0" borderId="0" xfId="0" applyFont="1" applyBorder="1" applyAlignment="1" applyProtection="1" quotePrefix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18" fillId="0" borderId="0" xfId="0" applyFont="1" applyBorder="1" applyAlignment="1" applyProtection="1" quotePrefix="1">
      <alignment horizontal="center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13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20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 quotePrefix="1">
      <alignment horizontal="center"/>
      <protection/>
    </xf>
    <xf numFmtId="0" fontId="26" fillId="0" borderId="0" xfId="0" applyFont="1" applyBorder="1" applyAlignment="1" applyProtection="1">
      <alignment/>
      <protection/>
    </xf>
    <xf numFmtId="0" fontId="17" fillId="0" borderId="0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2" fontId="7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2" fontId="3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3" fillId="0" borderId="1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0" fontId="3" fillId="0" borderId="7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0" fontId="3" fillId="0" borderId="20" xfId="0" applyFont="1" applyBorder="1" applyAlignment="1" applyProtection="1">
      <alignment/>
      <protection/>
    </xf>
    <xf numFmtId="2" fontId="28" fillId="0" borderId="5" xfId="0" applyNumberFormat="1" applyFont="1" applyBorder="1" applyAlignment="1" applyProtection="1">
      <alignment horizontal="center" vertical="center"/>
      <protection/>
    </xf>
    <xf numFmtId="168" fontId="28" fillId="0" borderId="5" xfId="0" applyNumberFormat="1" applyFont="1" applyBorder="1" applyAlignment="1" applyProtection="1">
      <alignment horizontal="center" vertical="center"/>
      <protection/>
    </xf>
    <xf numFmtId="171" fontId="28" fillId="0" borderId="5" xfId="0" applyNumberFormat="1" applyFont="1" applyBorder="1" applyAlignment="1" applyProtection="1">
      <alignment horizontal="center" vertical="center"/>
      <protection/>
    </xf>
    <xf numFmtId="3" fontId="3" fillId="0" borderId="5" xfId="0" applyNumberFormat="1" applyFont="1" applyBorder="1" applyAlignment="1" applyProtection="1" quotePrefix="1">
      <alignment horizontal="center" vertical="center"/>
      <protection/>
    </xf>
    <xf numFmtId="0" fontId="17" fillId="0" borderId="21" xfId="0" applyFont="1" applyBorder="1" applyAlignment="1" applyProtection="1">
      <alignment/>
      <protection/>
    </xf>
    <xf numFmtId="0" fontId="22" fillId="0" borderId="22" xfId="0" applyFont="1" applyBorder="1" applyAlignment="1" applyProtection="1">
      <alignment horizontal="right"/>
      <protection/>
    </xf>
    <xf numFmtId="0" fontId="17" fillId="0" borderId="22" xfId="0" applyFont="1" applyBorder="1" applyAlignment="1" applyProtection="1" quotePrefix="1">
      <alignment horizontal="left"/>
      <protection/>
    </xf>
    <xf numFmtId="0" fontId="17" fillId="0" borderId="22" xfId="0" applyFont="1" applyBorder="1" applyAlignment="1" applyProtection="1">
      <alignment/>
      <protection/>
    </xf>
    <xf numFmtId="164" fontId="27" fillId="0" borderId="22" xfId="0" applyNumberFormat="1" applyFont="1" applyBorder="1" applyAlignment="1" applyProtection="1">
      <alignment/>
      <protection/>
    </xf>
    <xf numFmtId="0" fontId="17" fillId="0" borderId="23" xfId="0" applyFont="1" applyBorder="1" applyAlignment="1" applyProtection="1">
      <alignment/>
      <protection/>
    </xf>
    <xf numFmtId="0" fontId="24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7" fillId="0" borderId="0" xfId="0" applyFont="1" applyBorder="1" applyAlignment="1" applyProtection="1">
      <alignment horizontal="right"/>
      <protection/>
    </xf>
    <xf numFmtId="0" fontId="6" fillId="0" borderId="0" xfId="0" applyFont="1" applyFill="1" applyBorder="1" applyAlignment="1" applyProtection="1">
      <alignment/>
      <protection/>
    </xf>
    <xf numFmtId="0" fontId="3" fillId="0" borderId="8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1" fontId="28" fillId="0" borderId="5" xfId="0" applyNumberFormat="1" applyFont="1" applyBorder="1" applyAlignment="1" applyProtection="1">
      <alignment horizontal="center"/>
      <protection/>
    </xf>
    <xf numFmtId="168" fontId="28" fillId="0" borderId="5" xfId="0" applyNumberFormat="1" applyFont="1" applyBorder="1" applyAlignment="1" applyProtection="1">
      <alignment horizontal="center"/>
      <protection/>
    </xf>
    <xf numFmtId="171" fontId="28" fillId="0" borderId="5" xfId="0" applyNumberFormat="1" applyFont="1" applyBorder="1" applyAlignment="1" applyProtection="1">
      <alignment horizontal="center"/>
      <protection/>
    </xf>
    <xf numFmtId="3" fontId="0" fillId="0" borderId="5" xfId="0" applyNumberFormat="1" applyFont="1" applyBorder="1" applyAlignment="1" applyProtection="1" quotePrefix="1">
      <alignment horizontal="center"/>
      <protection/>
    </xf>
    <xf numFmtId="0" fontId="14" fillId="0" borderId="22" xfId="0" applyFont="1" applyBorder="1" applyAlignment="1" applyProtection="1">
      <alignment horizontal="right"/>
      <protection/>
    </xf>
    <xf numFmtId="173" fontId="28" fillId="0" borderId="5" xfId="0" applyNumberFormat="1" applyFont="1" applyBorder="1" applyAlignment="1" applyProtection="1">
      <alignment horizontal="center"/>
      <protection/>
    </xf>
    <xf numFmtId="3" fontId="28" fillId="0" borderId="5" xfId="0" applyNumberFormat="1" applyFont="1" applyBorder="1" applyAlignment="1" applyProtection="1" quotePrefix="1">
      <alignment horizontal="center"/>
      <protection/>
    </xf>
    <xf numFmtId="0" fontId="23" fillId="0" borderId="0" xfId="0" applyFont="1" applyAlignment="1" applyProtection="1">
      <alignment/>
      <protection/>
    </xf>
    <xf numFmtId="0" fontId="34" fillId="0" borderId="0" xfId="0" applyFont="1" applyBorder="1" applyAlignment="1" applyProtection="1">
      <alignment/>
      <protection/>
    </xf>
    <xf numFmtId="0" fontId="34" fillId="0" borderId="0" xfId="0" applyFont="1" applyBorder="1" applyAlignment="1" applyProtection="1">
      <alignment horizontal="left"/>
      <protection/>
    </xf>
    <xf numFmtId="0" fontId="21" fillId="0" borderId="0" xfId="0" applyFont="1" applyBorder="1" applyAlignment="1" applyProtection="1">
      <alignment horizontal="center"/>
      <protection/>
    </xf>
    <xf numFmtId="0" fontId="23" fillId="0" borderId="0" xfId="0" applyFont="1" applyBorder="1" applyAlignment="1" applyProtection="1" quotePrefix="1">
      <alignment horizontal="center"/>
      <protection/>
    </xf>
    <xf numFmtId="0" fontId="23" fillId="0" borderId="0" xfId="0" applyFont="1" applyBorder="1" applyAlignment="1" applyProtection="1">
      <alignment horizontal="center"/>
      <protection/>
    </xf>
    <xf numFmtId="164" fontId="14" fillId="0" borderId="0" xfId="0" applyNumberFormat="1" applyFont="1" applyBorder="1" applyAlignment="1" applyProtection="1">
      <alignment horizontal="center"/>
      <protection/>
    </xf>
    <xf numFmtId="0" fontId="5" fillId="0" borderId="24" xfId="0" applyFont="1" applyBorder="1" applyAlignment="1" applyProtection="1">
      <alignment horizontal="center"/>
      <protection/>
    </xf>
    <xf numFmtId="0" fontId="5" fillId="0" borderId="25" xfId="0" applyFont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 horizontal="center"/>
      <protection/>
    </xf>
    <xf numFmtId="0" fontId="0" fillId="0" borderId="0" xfId="0" applyAlignment="1">
      <alignment horizontal="right"/>
    </xf>
    <xf numFmtId="170" fontId="14" fillId="0" borderId="0" xfId="0" applyNumberFormat="1" applyFont="1" applyBorder="1" applyAlignment="1" applyProtection="1">
      <alignment horizontal="center"/>
      <protection/>
    </xf>
    <xf numFmtId="167" fontId="14" fillId="0" borderId="0" xfId="0" applyNumberFormat="1" applyFont="1" applyBorder="1" applyAlignment="1" applyProtection="1">
      <alignment horizontal="center"/>
      <protection/>
    </xf>
    <xf numFmtId="0" fontId="5" fillId="0" borderId="21" xfId="0" applyFont="1" applyBorder="1" applyAlignment="1" applyProtection="1">
      <alignment horizontal="center"/>
      <protection/>
    </xf>
    <xf numFmtId="0" fontId="5" fillId="0" borderId="22" xfId="0" applyFont="1" applyBorder="1" applyAlignment="1" applyProtection="1">
      <alignment horizontal="center"/>
      <protection/>
    </xf>
    <xf numFmtId="0" fontId="0" fillId="0" borderId="26" xfId="0" applyBorder="1" applyAlignment="1" applyProtection="1">
      <alignment horizontal="left" wrapText="1"/>
      <protection/>
    </xf>
    <xf numFmtId="0" fontId="0" fillId="0" borderId="27" xfId="0" applyBorder="1" applyAlignment="1" applyProtection="1">
      <alignment horizontal="left" wrapText="1"/>
      <protection/>
    </xf>
    <xf numFmtId="0" fontId="0" fillId="0" borderId="28" xfId="0" applyBorder="1" applyAlignment="1" applyProtection="1">
      <alignment horizontal="left" wrapText="1"/>
      <protection/>
    </xf>
    <xf numFmtId="0" fontId="0" fillId="0" borderId="29" xfId="0" applyBorder="1" applyAlignment="1" applyProtection="1">
      <alignment horizontal="left" wrapText="1"/>
      <protection/>
    </xf>
    <xf numFmtId="0" fontId="0" fillId="0" borderId="0" xfId="0" applyBorder="1" applyAlignment="1" applyProtection="1">
      <alignment horizontal="left" wrapText="1"/>
      <protection/>
    </xf>
    <xf numFmtId="0" fontId="0" fillId="0" borderId="30" xfId="0" applyBorder="1" applyAlignment="1" applyProtection="1">
      <alignment horizontal="left" wrapText="1"/>
      <protection/>
    </xf>
    <xf numFmtId="0" fontId="0" fillId="0" borderId="31" xfId="0" applyBorder="1" applyAlignment="1" applyProtection="1">
      <alignment horizontal="left" wrapText="1"/>
      <protection/>
    </xf>
    <xf numFmtId="0" fontId="0" fillId="0" borderId="32" xfId="0" applyBorder="1" applyAlignment="1" applyProtection="1">
      <alignment horizontal="left" wrapText="1"/>
      <protection/>
    </xf>
    <xf numFmtId="0" fontId="0" fillId="0" borderId="33" xfId="0" applyBorder="1" applyAlignment="1" applyProtection="1">
      <alignment horizontal="left" wrapText="1"/>
      <protection/>
    </xf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5"/>
          <c:y val="0"/>
          <c:w val="0.87"/>
          <c:h val="0.8687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/>
            </c:numRef>
          </c:xVal>
          <c:yVal>
            <c:numRef>
              <c:f>AIRFLOW!$F$26:$F$36</c:f>
              <c:numCache/>
            </c:numRef>
          </c:yVal>
          <c:smooth val="0"/>
        </c:ser>
        <c:axId val="64304136"/>
        <c:axId val="41866313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/>
            </c:numRef>
          </c:xVal>
          <c:yVal>
            <c:numRef>
              <c:f>AIRFLOW!$I$26:$I$36</c:f>
              <c:numCache/>
            </c:numRef>
          </c:yVal>
          <c:smooth val="0"/>
        </c:ser>
        <c:axId val="41252498"/>
        <c:axId val="35728163"/>
      </c:scatterChart>
      <c:valAx>
        <c:axId val="64304136"/>
        <c:scaling>
          <c:orientation val="minMax"/>
          <c:max val="11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Airflow (CFM)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in"/>
        <c:minorTickMark val="none"/>
        <c:tickLblPos val="low"/>
        <c:crossAx val="41866313"/>
        <c:crosses val="autoZero"/>
        <c:crossBetween val="midCat"/>
        <c:dispUnits/>
        <c:majorUnit val="10"/>
      </c:valAx>
      <c:valAx>
        <c:axId val="41866313"/>
        <c:scaling>
          <c:orientation val="minMax"/>
          <c:max val="1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"H</a:t>
                </a:r>
                <a:r>
                  <a:rPr lang="en-US" cap="none" sz="1000" b="0" i="0" u="none" baseline="-25000"/>
                  <a:t>2</a:t>
                </a:r>
                <a:r>
                  <a:rPr lang="en-US" cap="none" sz="1000" b="0" i="0" u="none" baseline="0"/>
                  <a:t>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crossAx val="64304136"/>
        <c:crosses val="autoZero"/>
        <c:crossBetween val="midCat"/>
        <c:dispUnits/>
      </c:valAx>
      <c:valAx>
        <c:axId val="41252498"/>
        <c:scaling>
          <c:orientation val="minMax"/>
        </c:scaling>
        <c:axPos val="b"/>
        <c:delete val="1"/>
        <c:majorTickMark val="in"/>
        <c:minorTickMark val="none"/>
        <c:tickLblPos val="nextTo"/>
        <c:crossAx val="35728163"/>
        <c:crosses val="max"/>
        <c:crossBetween val="midCat"/>
        <c:dispUnits/>
      </c:valAx>
      <c:valAx>
        <c:axId val="35728163"/>
        <c:scaling>
          <c:orientation val="minMax"/>
          <c:max val="4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41252498"/>
        <c:crosses val="max"/>
        <c:crossBetween val="midCat"/>
        <c:dispUnits/>
        <c:majorUnit val="50"/>
      </c:valAx>
      <c:spPr>
        <a:solidFill>
          <a:srgbClr val="FFFFFF"/>
        </a:solidFill>
        <a:ln w="12700">
          <a:solidFill/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xVal>
            <c:numRef>
              <c:f>AIRFLOW!$BE$114:$CC$114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xVal>
          <c:yVal>
            <c:numRef>
              <c:f>AIRFLOW!$BE$116:$CC$116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dPt>
            <c:idx val="13"/>
            <c:spPr>
              <a:ln w="3175">
                <a:solidFill>
                  <a:srgbClr val="008000"/>
                </a:solidFill>
              </a:ln>
            </c:spPr>
            <c:marker>
              <c:size val="5"/>
              <c:spPr>
                <a:noFill/>
                <a:ln>
                  <a:noFill/>
                </a:ln>
              </c:spPr>
            </c:marker>
          </c:dPt>
          <c:xVal>
            <c:numRef>
              <c:f>AIRFLOW!$BE$114:$CC$114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xVal>
          <c:yVal>
            <c:numRef>
              <c:f>AIRFLOW!$BE$115:$CC$115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yVal>
          <c:smooth val="0"/>
        </c:ser>
        <c:axId val="53118012"/>
        <c:axId val="8300061"/>
      </c:scatterChart>
      <c:valAx>
        <c:axId val="53118012"/>
        <c:scaling>
          <c:orientation val="minMax"/>
        </c:scaling>
        <c:axPos val="b"/>
        <c:majorGridlines>
          <c:spPr>
            <a:ln w="3175">
              <a:solidFill>
                <a:srgbClr val="0000FF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3366FF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8300061"/>
        <c:crosses val="autoZero"/>
        <c:crossBetween val="midCat"/>
        <c:dispUnits/>
      </c:valAx>
      <c:valAx>
        <c:axId val="8300061"/>
        <c:scaling>
          <c:orientation val="minMax"/>
        </c:scaling>
        <c:axPos val="l"/>
        <c:majorGridlines>
          <c:spPr>
            <a:ln w="3175">
              <a:solidFill>
                <a:srgbClr val="3366FF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3366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5311801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FF"/>
          </a:solidFill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25"/>
          <c:y val="0.08175"/>
          <c:w val="0.9095"/>
          <c:h val="0.878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>
                <c:ptCount val="11"/>
                <c:pt idx="0">
                  <c:v>49.889567756458625</c:v>
                </c:pt>
                <c:pt idx="1">
                  <c:v>48.919693796633844</c:v>
                </c:pt>
                <c:pt idx="2">
                  <c:v>45.49790072206517</c:v>
                </c:pt>
                <c:pt idx="3">
                  <c:v>38.32012799288143</c:v>
                </c:pt>
                <c:pt idx="4">
                  <c:v>33.30218165245006</c:v>
                </c:pt>
                <c:pt idx="5">
                  <c:v>27.0427578424108</c:v>
                </c:pt>
                <c:pt idx="6">
                  <c:v>20.163533277863323</c:v>
                </c:pt>
                <c:pt idx="7">
                  <c:v>13.688063980785374</c:v>
                </c:pt>
                <c:pt idx="8">
                  <c:v>8.17282120791345</c:v>
                </c:pt>
                <c:pt idx="9">
                  <c:v>3.895105961257142</c:v>
                </c:pt>
                <c:pt idx="10">
                  <c:v>0</c:v>
                </c:pt>
              </c:numCache>
            </c:numRef>
          </c:xVal>
          <c:yVal>
            <c:numRef>
              <c:f>AIRFLOW!$F$58:$F$68</c:f>
              <c:numCache>
                <c:ptCount val="11"/>
                <c:pt idx="0">
                  <c:v>104.15172855041737</c:v>
                </c:pt>
                <c:pt idx="1">
                  <c:v>329.45954949621824</c:v>
                </c:pt>
                <c:pt idx="2">
                  <c:v>590.901643612572</c:v>
                </c:pt>
                <c:pt idx="3">
                  <c:v>1037.2661945429322</c:v>
                </c:pt>
                <c:pt idx="4">
                  <c:v>1339.0936527910806</c:v>
                </c:pt>
                <c:pt idx="5">
                  <c:v>1647.2977474810912</c:v>
                </c:pt>
                <c:pt idx="6">
                  <c:v>1910.8653870780659</c:v>
                </c:pt>
                <c:pt idx="7">
                  <c:v>2163.8052992719367</c:v>
                </c:pt>
                <c:pt idx="8">
                  <c:v>2431.6240298301527</c:v>
                </c:pt>
                <c:pt idx="9">
                  <c:v>2603.7932137604344</c:v>
                </c:pt>
                <c:pt idx="10">
                  <c:v>2839.7287621093387</c:v>
                </c:pt>
              </c:numCache>
            </c:numRef>
          </c:yVal>
          <c:smooth val="0"/>
        </c:ser>
        <c:axId val="7591686"/>
        <c:axId val="1216311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>
                <c:ptCount val="11"/>
                <c:pt idx="0">
                  <c:v>49.889567756458625</c:v>
                </c:pt>
                <c:pt idx="1">
                  <c:v>48.919693796633844</c:v>
                </c:pt>
                <c:pt idx="2">
                  <c:v>45.49790072206517</c:v>
                </c:pt>
                <c:pt idx="3">
                  <c:v>38.32012799288143</c:v>
                </c:pt>
                <c:pt idx="4">
                  <c:v>33.30218165245006</c:v>
                </c:pt>
                <c:pt idx="5">
                  <c:v>27.0427578424108</c:v>
                </c:pt>
                <c:pt idx="6">
                  <c:v>20.163533277863323</c:v>
                </c:pt>
                <c:pt idx="7">
                  <c:v>13.688063980785374</c:v>
                </c:pt>
                <c:pt idx="8">
                  <c:v>8.17282120791345</c:v>
                </c:pt>
                <c:pt idx="9">
                  <c:v>3.895105961257142</c:v>
                </c:pt>
                <c:pt idx="10">
                  <c:v>0</c:v>
                </c:pt>
              </c:numCache>
            </c:numRef>
          </c:xVal>
          <c:yVal>
            <c:numRef>
              <c:f>AIRFLOW!$I$58:$I$68</c:f>
              <c:numCache>
                <c:ptCount val="11"/>
                <c:pt idx="0">
                  <c:v>50.86258224769226</c:v>
                </c:pt>
                <c:pt idx="1">
                  <c:v>157.76403744058294</c:v>
                </c:pt>
                <c:pt idx="2">
                  <c:v>263.1653692451663</c:v>
                </c:pt>
                <c:pt idx="3">
                  <c:v>389.080402864147</c:v>
                </c:pt>
                <c:pt idx="4">
                  <c:v>436.5216807978122</c:v>
                </c:pt>
                <c:pt idx="5">
                  <c:v>436.05901117069993</c:v>
                </c:pt>
                <c:pt idx="6">
                  <c:v>377.15416835606857</c:v>
                </c:pt>
                <c:pt idx="7">
                  <c:v>289.9228120726318</c:v>
                </c:pt>
                <c:pt idx="8">
                  <c:v>194.53180054935723</c:v>
                </c:pt>
                <c:pt idx="9">
                  <c:v>99.27684094450294</c:v>
                </c:pt>
                <c:pt idx="10">
                  <c:v>0</c:v>
                </c:pt>
              </c:numCache>
            </c:numRef>
          </c:yVal>
          <c:smooth val="0"/>
        </c:ser>
        <c:axId val="10946800"/>
        <c:axId val="31412337"/>
      </c:scatterChart>
      <c:valAx>
        <c:axId val="7591686"/>
        <c:scaling>
          <c:orientation val="minMax"/>
          <c:max val="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Airflow (L/sec)</a:t>
                </a:r>
              </a:p>
            </c:rich>
          </c:tx>
          <c:layout>
            <c:manualLayout>
              <c:xMode val="factor"/>
              <c:yMode val="factor"/>
              <c:x val="0.008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in"/>
        <c:minorTickMark val="none"/>
        <c:tickLblPos val="low"/>
        <c:crossAx val="1216311"/>
        <c:crosses val="autoZero"/>
        <c:crossBetween val="midCat"/>
        <c:dispUnits/>
        <c:majorUnit val="5"/>
      </c:valAx>
      <c:valAx>
        <c:axId val="1216311"/>
        <c:scaling>
          <c:orientation val="minMax"/>
          <c:max val="3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mm H</a:t>
                </a:r>
                <a:r>
                  <a:rPr lang="en-US" cap="none" sz="1000" b="0" i="0" u="none" baseline="-25000"/>
                  <a:t>2</a:t>
                </a:r>
                <a:r>
                  <a:rPr lang="en-US" cap="none" sz="1000" b="0" i="0" u="none" baseline="0"/>
                  <a:t>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crossAx val="7591686"/>
        <c:crosses val="autoZero"/>
        <c:crossBetween val="midCat"/>
        <c:dispUnits/>
      </c:valAx>
      <c:valAx>
        <c:axId val="10946800"/>
        <c:scaling>
          <c:orientation val="minMax"/>
        </c:scaling>
        <c:axPos val="b"/>
        <c:delete val="1"/>
        <c:majorTickMark val="in"/>
        <c:minorTickMark val="none"/>
        <c:tickLblPos val="nextTo"/>
        <c:crossAx val="31412337"/>
        <c:crosses val="max"/>
        <c:crossBetween val="midCat"/>
        <c:dispUnits/>
      </c:valAx>
      <c:valAx>
        <c:axId val="31412337"/>
        <c:scaling>
          <c:orientation val="minMax"/>
          <c:max val="4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10946800"/>
        <c:crosses val="max"/>
        <c:crossBetween val="midCat"/>
        <c:dispUnits/>
        <c:majorUnit val="70"/>
      </c:valAx>
      <c:spPr>
        <a:solidFill>
          <a:srgbClr val="FFFFFF"/>
        </a:solidFill>
        <a:ln w="12700">
          <a:solidFill/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304800</xdr:colOff>
      <xdr:row>0</xdr:row>
      <xdr:rowOff>238125</xdr:rowOff>
    </xdr:from>
    <xdr:to>
      <xdr:col>8</xdr:col>
      <xdr:colOff>733425</xdr:colOff>
      <xdr:row>20</xdr:row>
      <xdr:rowOff>171450</xdr:rowOff>
    </xdr:to>
    <xdr:graphicFrame>
      <xdr:nvGraphicFramePr>
        <xdr:cNvPr id="1" name="Chart 1"/>
        <xdr:cNvGraphicFramePr/>
      </xdr:nvGraphicFramePr>
      <xdr:xfrm>
        <a:off x="1905000" y="238125"/>
        <a:ext cx="5286375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55</xdr:col>
      <xdr:colOff>85725</xdr:colOff>
      <xdr:row>125</xdr:row>
      <xdr:rowOff>66675</xdr:rowOff>
    </xdr:from>
    <xdr:to>
      <xdr:col>61</xdr:col>
      <xdr:colOff>695325</xdr:colOff>
      <xdr:row>144</xdr:row>
      <xdr:rowOff>161925</xdr:rowOff>
    </xdr:to>
    <xdr:graphicFrame>
      <xdr:nvGraphicFramePr>
        <xdr:cNvPr id="2" name="Chart 2"/>
        <xdr:cNvGraphicFramePr/>
      </xdr:nvGraphicFramePr>
      <xdr:xfrm>
        <a:off x="9734550" y="1551622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504825</xdr:colOff>
      <xdr:row>39</xdr:row>
      <xdr:rowOff>28575</xdr:rowOff>
    </xdr:from>
    <xdr:to>
      <xdr:col>7</xdr:col>
      <xdr:colOff>714375</xdr:colOff>
      <xdr:row>48</xdr:row>
      <xdr:rowOff>38100</xdr:rowOff>
    </xdr:to>
    <xdr:graphicFrame>
      <xdr:nvGraphicFramePr>
        <xdr:cNvPr id="3" name="Chart 10"/>
        <xdr:cNvGraphicFramePr/>
      </xdr:nvGraphicFramePr>
      <xdr:xfrm>
        <a:off x="1257300" y="6076950"/>
        <a:ext cx="5162550" cy="2009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111" transitionEvaluation="1" transitionEntry="1">
    <pageSetUpPr fitToPage="1"/>
  </sheetPr>
  <dimension ref="A1:CC159"/>
  <sheetViews>
    <sheetView showGridLines="0" tabSelected="1" zoomScale="67" zoomScaleNormal="67" workbookViewId="0" topLeftCell="A1">
      <selection activeCell="K8" sqref="K8"/>
    </sheetView>
  </sheetViews>
  <sheetFormatPr defaultColWidth="9.77734375" defaultRowHeight="15.75" zeroHeight="1"/>
  <cols>
    <col min="1" max="1" width="8.77734375" style="0" customWidth="1"/>
    <col min="2" max="2" width="9.88671875" style="0" bestFit="1" customWidth="1"/>
    <col min="3" max="4" width="7.77734375" style="0" customWidth="1"/>
    <col min="5" max="5" width="10.5546875" style="0" customWidth="1"/>
    <col min="6" max="6" width="9.88671875" style="0" bestFit="1" customWidth="1"/>
    <col min="7" max="7" width="11.88671875" style="0" bestFit="1" customWidth="1"/>
    <col min="8" max="8" width="8.77734375" style="0" customWidth="1"/>
    <col min="9" max="9" width="10.4453125" style="0" customWidth="1"/>
    <col min="10" max="10" width="10.10546875" style="0" customWidth="1"/>
    <col min="11" max="11" width="8.6640625" style="0" customWidth="1"/>
    <col min="12" max="12" width="7.5546875" style="0" customWidth="1"/>
    <col min="13" max="13" width="1.4375" style="0" customWidth="1"/>
    <col min="14" max="14" width="4.88671875" style="0" hidden="1" customWidth="1"/>
    <col min="15" max="15" width="1.77734375" style="0" hidden="1" customWidth="1"/>
    <col min="16" max="17" width="1.2265625" style="0" hidden="1" customWidth="1"/>
    <col min="18" max="19" width="9.77734375" style="0" hidden="1" customWidth="1"/>
    <col min="20" max="24" width="15.77734375" style="0" hidden="1" customWidth="1"/>
    <col min="25" max="28" width="11.77734375" style="0" hidden="1" customWidth="1"/>
    <col min="29" max="40" width="10.77734375" style="0" hidden="1" customWidth="1"/>
    <col min="41" max="87" width="9.77734375" style="0" hidden="1" customWidth="1"/>
    <col min="88" max="16384" width="0" style="0" hidden="1" customWidth="1"/>
  </cols>
  <sheetData>
    <row r="1" spans="1:14" ht="19.5">
      <c r="A1" s="92"/>
      <c r="B1" s="93"/>
      <c r="C1" s="93"/>
      <c r="D1" s="93"/>
      <c r="E1" s="18"/>
      <c r="F1" s="94"/>
      <c r="G1" s="18"/>
      <c r="H1" s="18"/>
      <c r="I1" s="18"/>
      <c r="J1" s="18"/>
      <c r="K1" s="18"/>
      <c r="L1" s="18"/>
      <c r="M1" s="18"/>
      <c r="N1" s="14"/>
    </row>
    <row r="2" spans="1:14" ht="24.75">
      <c r="A2" s="153"/>
      <c r="B2" s="153"/>
      <c r="C2" s="153"/>
      <c r="D2" s="95"/>
      <c r="E2" s="95"/>
      <c r="F2" s="95"/>
      <c r="G2" s="96"/>
      <c r="H2" s="154"/>
      <c r="I2" s="154"/>
      <c r="J2" s="154"/>
      <c r="K2" s="154"/>
      <c r="L2" s="154"/>
      <c r="M2" s="154"/>
      <c r="N2" s="14"/>
    </row>
    <row r="3" spans="1:14" ht="24.75">
      <c r="A3" s="153" t="s">
        <v>100</v>
      </c>
      <c r="B3" s="153"/>
      <c r="C3" s="153"/>
      <c r="D3" s="97"/>
      <c r="E3" s="97"/>
      <c r="F3" s="97"/>
      <c r="G3" s="98"/>
      <c r="H3" s="155"/>
      <c r="I3" s="155"/>
      <c r="J3" s="155"/>
      <c r="K3" s="155"/>
      <c r="L3" s="155"/>
      <c r="M3" s="155"/>
      <c r="N3" s="14"/>
    </row>
    <row r="4" spans="1:14" ht="24.75">
      <c r="A4" s="159" t="s">
        <v>101</v>
      </c>
      <c r="B4" s="159"/>
      <c r="C4" s="159"/>
      <c r="D4" s="99"/>
      <c r="E4" s="100"/>
      <c r="F4" s="100"/>
      <c r="G4" s="100"/>
      <c r="H4" s="5"/>
      <c r="I4" s="5"/>
      <c r="J4" s="150" t="s">
        <v>113</v>
      </c>
      <c r="K4" s="5"/>
      <c r="L4" s="101"/>
      <c r="M4" s="102"/>
      <c r="N4" s="17"/>
    </row>
    <row r="5" spans="1:14" ht="30.75">
      <c r="A5" s="5"/>
      <c r="B5" s="96"/>
      <c r="C5" s="96"/>
      <c r="D5" s="96"/>
      <c r="E5" s="96"/>
      <c r="F5" s="96"/>
      <c r="G5" s="103"/>
      <c r="H5" s="104"/>
      <c r="I5" s="104"/>
      <c r="J5" s="151" t="s">
        <v>114</v>
      </c>
      <c r="K5" s="104"/>
      <c r="L5" s="104"/>
      <c r="M5" s="102"/>
      <c r="N5" s="17"/>
    </row>
    <row r="6" spans="1:14" ht="30.75">
      <c r="A6" s="97"/>
      <c r="B6" s="105"/>
      <c r="C6" s="106"/>
      <c r="D6" s="106"/>
      <c r="E6" s="99"/>
      <c r="F6" s="99"/>
      <c r="G6" s="107"/>
      <c r="H6" s="107"/>
      <c r="I6" s="107"/>
      <c r="J6" s="152" t="s">
        <v>115</v>
      </c>
      <c r="K6" s="107"/>
      <c r="L6" s="107"/>
      <c r="M6" s="102"/>
      <c r="N6" s="17"/>
    </row>
    <row r="7" spans="1:14" ht="30.75">
      <c r="A7" s="108" t="s">
        <v>102</v>
      </c>
      <c r="B7" s="109">
        <v>120</v>
      </c>
      <c r="C7" s="106"/>
      <c r="D7" s="106"/>
      <c r="E7" s="99"/>
      <c r="F7" s="99"/>
      <c r="G7" s="107"/>
      <c r="H7" s="107"/>
      <c r="I7" s="107"/>
      <c r="J7" s="152" t="s">
        <v>116</v>
      </c>
      <c r="K7" s="107"/>
      <c r="L7" s="107"/>
      <c r="M7" s="102"/>
      <c r="N7" s="17"/>
    </row>
    <row r="8" spans="1:14" ht="20.25">
      <c r="A8" s="97"/>
      <c r="B8" s="105"/>
      <c r="C8" s="106"/>
      <c r="D8" s="106"/>
      <c r="E8" s="99"/>
      <c r="F8" s="99"/>
      <c r="G8" s="107"/>
      <c r="H8" s="107"/>
      <c r="I8" s="107"/>
      <c r="J8" s="107"/>
      <c r="K8" s="107"/>
      <c r="L8" s="107"/>
      <c r="M8" s="102"/>
      <c r="N8" s="17"/>
    </row>
    <row r="9" spans="1:14" ht="15.75">
      <c r="A9" s="105"/>
      <c r="B9" s="105"/>
      <c r="C9" s="106"/>
      <c r="D9" s="106"/>
      <c r="E9" s="99"/>
      <c r="F9" s="99"/>
      <c r="G9" s="107"/>
      <c r="H9" s="107"/>
      <c r="I9" s="107"/>
      <c r="J9" s="107"/>
      <c r="K9" s="107"/>
      <c r="L9" s="107"/>
      <c r="M9" s="102"/>
      <c r="N9" s="17"/>
    </row>
    <row r="10" spans="1:14" ht="15.75" hidden="1">
      <c r="A10" s="110"/>
      <c r="B10" s="110"/>
      <c r="C10" s="111"/>
      <c r="D10" s="111"/>
      <c r="E10" s="111"/>
      <c r="F10" s="111"/>
      <c r="G10" s="104"/>
      <c r="H10" s="112"/>
      <c r="I10" s="112"/>
      <c r="J10" s="112"/>
      <c r="K10" s="112"/>
      <c r="L10" s="112"/>
      <c r="M10" s="18"/>
      <c r="N10" s="14"/>
    </row>
    <row r="11" spans="1:14" ht="15.75" hidden="1">
      <c r="A11" s="5"/>
      <c r="B11" s="5"/>
      <c r="C11" s="110"/>
      <c r="D11" s="110"/>
      <c r="E11" s="110"/>
      <c r="F11" s="110"/>
      <c r="G11" s="5"/>
      <c r="H11" s="18"/>
      <c r="I11" s="18"/>
      <c r="J11" s="18"/>
      <c r="K11" s="18"/>
      <c r="L11" s="18"/>
      <c r="M11" s="18"/>
      <c r="N11" s="14"/>
    </row>
    <row r="12" spans="1:14" ht="15.75" hidden="1">
      <c r="A12" s="5"/>
      <c r="B12" s="110"/>
      <c r="C12" s="110"/>
      <c r="D12" s="28"/>
      <c r="E12" s="110"/>
      <c r="F12" s="110"/>
      <c r="G12" s="5"/>
      <c r="H12" s="18"/>
      <c r="I12" s="18"/>
      <c r="J12" s="18"/>
      <c r="K12" s="18"/>
      <c r="L12" s="18"/>
      <c r="M12" s="18"/>
      <c r="N12" s="14"/>
    </row>
    <row r="13" spans="1:14" ht="15.75" hidden="1">
      <c r="A13" s="5"/>
      <c r="B13" s="96"/>
      <c r="C13" s="96"/>
      <c r="D13" s="96"/>
      <c r="E13" s="96"/>
      <c r="F13" s="96"/>
      <c r="G13" s="18"/>
      <c r="H13" s="18"/>
      <c r="I13" s="18"/>
      <c r="J13" s="18"/>
      <c r="K13" s="18"/>
      <c r="L13" s="18"/>
      <c r="M13" s="18"/>
      <c r="N13" s="14"/>
    </row>
    <row r="14" spans="1:14" ht="15.75" hidden="1">
      <c r="A14" s="5"/>
      <c r="B14" s="113"/>
      <c r="C14" s="113"/>
      <c r="D14" s="113"/>
      <c r="E14" s="113"/>
      <c r="F14" s="113"/>
      <c r="G14" s="18"/>
      <c r="H14" s="18"/>
      <c r="I14" s="18"/>
      <c r="J14" s="18"/>
      <c r="K14" s="18"/>
      <c r="L14" s="18"/>
      <c r="M14" s="18"/>
      <c r="N14" s="14"/>
    </row>
    <row r="15" spans="1:14" ht="15.75" hidden="1">
      <c r="A15" s="5"/>
      <c r="B15" s="114"/>
      <c r="C15" s="114"/>
      <c r="D15" s="114"/>
      <c r="E15" s="114"/>
      <c r="F15" s="115"/>
      <c r="G15" s="18"/>
      <c r="H15" s="18"/>
      <c r="I15" s="18"/>
      <c r="J15" s="18"/>
      <c r="K15" s="18"/>
      <c r="L15" s="18"/>
      <c r="M15" s="18"/>
      <c r="N15" s="14"/>
    </row>
    <row r="16" spans="1:14" ht="15.75" hidden="1">
      <c r="A16" s="31"/>
      <c r="B16" s="116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4"/>
    </row>
    <row r="17" spans="1:57" ht="15.75" hidden="1">
      <c r="A17" s="5"/>
      <c r="B17" s="5"/>
      <c r="C17" s="5"/>
      <c r="D17" s="5"/>
      <c r="E17" s="5"/>
      <c r="F17" s="18"/>
      <c r="G17" s="18"/>
      <c r="H17" s="18"/>
      <c r="I17" s="18"/>
      <c r="J17" s="18"/>
      <c r="K17" s="18"/>
      <c r="L17" s="18"/>
      <c r="M17" s="18"/>
      <c r="N17" s="14"/>
      <c r="BA17" s="31" t="s">
        <v>0</v>
      </c>
      <c r="BB17" s="14"/>
      <c r="BC17" s="31" t="s">
        <v>1</v>
      </c>
      <c r="BD17" s="14"/>
      <c r="BE17" s="31" t="s">
        <v>2</v>
      </c>
    </row>
    <row r="18" spans="1:57" ht="15.75" hidden="1">
      <c r="A18" s="5"/>
      <c r="B18" s="5"/>
      <c r="C18" s="5"/>
      <c r="D18" s="5"/>
      <c r="E18" s="5"/>
      <c r="F18" s="5"/>
      <c r="G18" s="5"/>
      <c r="H18" s="5"/>
      <c r="I18" s="5"/>
      <c r="J18" s="25"/>
      <c r="K18" s="5"/>
      <c r="L18" s="18"/>
      <c r="M18" s="18"/>
      <c r="N18" s="14"/>
      <c r="BA18" s="31" t="s">
        <v>3</v>
      </c>
      <c r="BB18" s="14"/>
      <c r="BC18" s="31" t="s">
        <v>4</v>
      </c>
      <c r="BD18" s="14"/>
      <c r="BE18" s="31" t="s">
        <v>4</v>
      </c>
    </row>
    <row r="19" spans="1:57" ht="15.75" hidden="1">
      <c r="A19" s="5"/>
      <c r="B19" s="5"/>
      <c r="C19" s="5"/>
      <c r="D19" s="5"/>
      <c r="E19" s="5"/>
      <c r="F19" s="5"/>
      <c r="G19" s="5"/>
      <c r="H19" s="33"/>
      <c r="I19" s="5"/>
      <c r="J19" s="5"/>
      <c r="K19" s="5"/>
      <c r="L19" s="18"/>
      <c r="M19" s="18"/>
      <c r="N19" s="14"/>
      <c r="BA19" s="13">
        <v>28</v>
      </c>
      <c r="BB19" s="14"/>
      <c r="BC19" s="12">
        <v>57</v>
      </c>
      <c r="BD19" s="14"/>
      <c r="BE19" s="12">
        <v>75</v>
      </c>
    </row>
    <row r="20" spans="1:57" ht="15.75" hidden="1">
      <c r="A20" s="5"/>
      <c r="B20" s="5"/>
      <c r="C20" s="5"/>
      <c r="D20" s="5"/>
      <c r="E20" s="5"/>
      <c r="F20" s="5"/>
      <c r="G20" s="5"/>
      <c r="H20" s="32"/>
      <c r="I20" s="5"/>
      <c r="J20" s="5"/>
      <c r="K20" s="117"/>
      <c r="L20" s="18"/>
      <c r="M20" s="18"/>
      <c r="N20" s="14"/>
      <c r="BB20" s="14"/>
      <c r="BC20" s="14"/>
      <c r="BD20" s="33" t="s">
        <v>90</v>
      </c>
      <c r="BE20" s="41">
        <v>74</v>
      </c>
    </row>
    <row r="21" spans="1:57" ht="15.75">
      <c r="A21" s="5"/>
      <c r="B21" s="5"/>
      <c r="C21" s="5"/>
      <c r="D21" s="5"/>
      <c r="E21" s="5"/>
      <c r="F21" s="5"/>
      <c r="G21" s="25"/>
      <c r="H21" s="33"/>
      <c r="I21" s="5"/>
      <c r="J21" s="25"/>
      <c r="K21" s="5"/>
      <c r="L21" s="18"/>
      <c r="M21" s="18"/>
      <c r="N21" s="14"/>
      <c r="BB21" s="14"/>
      <c r="BC21" s="14"/>
      <c r="BD21" s="32" t="s">
        <v>89</v>
      </c>
      <c r="BE21" s="40">
        <v>28.464</v>
      </c>
    </row>
    <row r="22" spans="1:14" ht="15.75">
      <c r="A22" s="118"/>
      <c r="B22" s="118"/>
      <c r="C22" s="118"/>
      <c r="D22" s="118"/>
      <c r="E22" s="119"/>
      <c r="F22" s="55" t="s">
        <v>11</v>
      </c>
      <c r="G22" s="55" t="s">
        <v>12</v>
      </c>
      <c r="H22" s="55" t="s">
        <v>11</v>
      </c>
      <c r="I22" s="120"/>
      <c r="J22" s="120"/>
      <c r="K22" s="121"/>
      <c r="L22" s="46"/>
      <c r="M22" s="46"/>
      <c r="N22" s="27"/>
    </row>
    <row r="23" spans="1:14" ht="15.75">
      <c r="A23" s="61" t="s">
        <v>13</v>
      </c>
      <c r="B23" s="55" t="s">
        <v>14</v>
      </c>
      <c r="C23" s="55" t="s">
        <v>15</v>
      </c>
      <c r="D23" s="120"/>
      <c r="E23" s="122"/>
      <c r="F23" s="56" t="s">
        <v>14</v>
      </c>
      <c r="G23" s="56" t="s">
        <v>16</v>
      </c>
      <c r="H23" s="56" t="s">
        <v>15</v>
      </c>
      <c r="I23" s="56" t="s">
        <v>12</v>
      </c>
      <c r="J23" s="56"/>
      <c r="K23" s="62" t="s">
        <v>85</v>
      </c>
      <c r="L23" s="47"/>
      <c r="M23" s="46"/>
      <c r="N23" s="27"/>
    </row>
    <row r="24" spans="1:14" ht="15" customHeight="1">
      <c r="A24" s="57" t="s">
        <v>18</v>
      </c>
      <c r="B24" s="58" t="s">
        <v>94</v>
      </c>
      <c r="C24" s="56" t="s">
        <v>20</v>
      </c>
      <c r="D24" s="56" t="s">
        <v>19</v>
      </c>
      <c r="E24" s="59" t="s">
        <v>21</v>
      </c>
      <c r="F24" s="65" t="s">
        <v>94</v>
      </c>
      <c r="G24" s="56" t="s">
        <v>22</v>
      </c>
      <c r="H24" s="56" t="s">
        <v>20</v>
      </c>
      <c r="I24" s="56" t="s">
        <v>20</v>
      </c>
      <c r="J24" s="56" t="s">
        <v>23</v>
      </c>
      <c r="K24" s="63" t="s">
        <v>86</v>
      </c>
      <c r="L24" s="47"/>
      <c r="M24" s="47"/>
      <c r="N24" s="28"/>
    </row>
    <row r="25" spans="1:14" ht="3.75" customHeight="1" thickBot="1">
      <c r="A25" s="123"/>
      <c r="B25" s="36"/>
      <c r="C25" s="36"/>
      <c r="D25" s="36"/>
      <c r="E25" s="124"/>
      <c r="F25" s="36"/>
      <c r="G25" s="36"/>
      <c r="H25" s="36"/>
      <c r="I25" s="36"/>
      <c r="J25" s="36"/>
      <c r="K25" s="125"/>
      <c r="L25" s="105"/>
      <c r="M25" s="105"/>
      <c r="N25" s="27"/>
    </row>
    <row r="26" spans="1:55" ht="15" customHeight="1" thickTop="1">
      <c r="A26" s="83">
        <v>2</v>
      </c>
      <c r="B26" s="126">
        <v>3.92</v>
      </c>
      <c r="C26" s="127">
        <v>1350</v>
      </c>
      <c r="D26" s="128">
        <v>11.9</v>
      </c>
      <c r="E26" s="129">
        <v>22080</v>
      </c>
      <c r="F26" s="84">
        <v>4.10046175395344</v>
      </c>
      <c r="G26" s="84">
        <v>105.69823677215811</v>
      </c>
      <c r="H26" s="85">
        <v>1396.5883195845595</v>
      </c>
      <c r="I26" s="86">
        <v>50.86258224769226</v>
      </c>
      <c r="J26" s="87">
        <v>0.06818040515776443</v>
      </c>
      <c r="K26" s="86">
        <v>3.6419166288618436</v>
      </c>
      <c r="L26" s="48"/>
      <c r="M26" s="48"/>
      <c r="AA26" s="66">
        <v>101.81972301033227</v>
      </c>
      <c r="AB26" s="66">
        <v>3.7974119194312004</v>
      </c>
      <c r="AC26" s="60">
        <v>45.37509189188302</v>
      </c>
      <c r="BA26" s="4" t="s">
        <v>5</v>
      </c>
      <c r="BB26" s="4" t="s">
        <v>6</v>
      </c>
      <c r="BC26" s="4" t="s">
        <v>7</v>
      </c>
    </row>
    <row r="27" spans="1:55" ht="15" customHeight="1">
      <c r="A27" s="83">
        <v>1.5</v>
      </c>
      <c r="B27" s="126">
        <v>12.4</v>
      </c>
      <c r="C27" s="127">
        <v>1352</v>
      </c>
      <c r="D27" s="128">
        <v>11.94</v>
      </c>
      <c r="E27" s="129">
        <v>21960</v>
      </c>
      <c r="F27" s="84">
        <v>12.970848405362924</v>
      </c>
      <c r="G27" s="84">
        <v>103.64341906066493</v>
      </c>
      <c r="H27" s="85">
        <v>1398.6573393172773</v>
      </c>
      <c r="I27" s="86">
        <v>157.76403744058294</v>
      </c>
      <c r="J27" s="87">
        <v>0.21147994294984307</v>
      </c>
      <c r="K27" s="86">
        <v>11.27967751683853</v>
      </c>
      <c r="L27" s="48"/>
      <c r="M27" s="48"/>
      <c r="AA27" s="66">
        <v>95.33656723085866</v>
      </c>
      <c r="AB27" s="66">
        <v>10.9175592683647</v>
      </c>
      <c r="AC27" s="60">
        <v>122.14704520129183</v>
      </c>
      <c r="BA27" s="6">
        <f>(17.68*BE21-0.001978*BC19^2+0.1064*BC19+0.002475*BE21*(BE19-BC19)-2.741)/(BE19+459.7)</f>
        <v>0.937738674396858</v>
      </c>
      <c r="BB27" s="6">
        <f>1+0.667*(1-BA27)</f>
        <v>1.0415283041772958</v>
      </c>
      <c r="BC27" s="6">
        <f>1+0.5*(1-BA27)</f>
        <v>1.031130662801571</v>
      </c>
    </row>
    <row r="28" spans="1:55" ht="15" customHeight="1">
      <c r="A28" s="83">
        <v>1.25</v>
      </c>
      <c r="B28" s="126">
        <v>22.24</v>
      </c>
      <c r="C28" s="127">
        <v>1362</v>
      </c>
      <c r="D28" s="128">
        <v>12.01</v>
      </c>
      <c r="E28" s="129">
        <v>21960</v>
      </c>
      <c r="F28" s="84">
        <v>23.263844236715435</v>
      </c>
      <c r="G28" s="84">
        <v>96.39385746200247</v>
      </c>
      <c r="H28" s="85">
        <v>1409.0024379808667</v>
      </c>
      <c r="I28" s="86">
        <v>263.1653692451663</v>
      </c>
      <c r="J28" s="87">
        <v>0.3527685914814562</v>
      </c>
      <c r="K28" s="86">
        <v>18.677424690782534</v>
      </c>
      <c r="L28" s="48"/>
      <c r="M28" s="48"/>
      <c r="AA28" s="66">
        <v>88.69441403834412</v>
      </c>
      <c r="AB28" s="66">
        <v>19.567219751513548</v>
      </c>
      <c r="AC28" s="60">
        <v>203.66822964967878</v>
      </c>
      <c r="BA28" s="6"/>
      <c r="BB28" s="6"/>
      <c r="BC28" s="6"/>
    </row>
    <row r="29" spans="1:55" ht="15" customHeight="1">
      <c r="A29" s="83">
        <v>1</v>
      </c>
      <c r="B29" s="126">
        <v>39.04</v>
      </c>
      <c r="C29" s="127">
        <v>1364</v>
      </c>
      <c r="D29" s="128">
        <v>12.04</v>
      </c>
      <c r="E29" s="129">
        <v>21960</v>
      </c>
      <c r="F29" s="84">
        <v>40.837251753658755</v>
      </c>
      <c r="G29" s="84">
        <v>81.18671184932508</v>
      </c>
      <c r="H29" s="85">
        <v>1411.0714577135846</v>
      </c>
      <c r="I29" s="86">
        <v>389.080402864147</v>
      </c>
      <c r="J29" s="87">
        <v>0.5215554998178914</v>
      </c>
      <c r="K29" s="86">
        <v>27.573401810181146</v>
      </c>
      <c r="L29" s="48"/>
      <c r="M29" s="48"/>
      <c r="N29" s="29"/>
      <c r="AA29" s="66">
        <v>74.20516513291231</v>
      </c>
      <c r="AB29" s="66">
        <v>33.86025628159487</v>
      </c>
      <c r="AC29" s="60">
        <v>294.8643538234838</v>
      </c>
      <c r="BA29" s="7" t="s">
        <v>8</v>
      </c>
      <c r="BB29" s="7" t="s">
        <v>9</v>
      </c>
      <c r="BC29" s="7" t="s">
        <v>10</v>
      </c>
    </row>
    <row r="30" spans="1:55" ht="15" customHeight="1">
      <c r="A30" s="83">
        <v>0.875</v>
      </c>
      <c r="B30" s="126">
        <v>50.4</v>
      </c>
      <c r="C30" s="127">
        <v>1354</v>
      </c>
      <c r="D30" s="128">
        <v>11.92</v>
      </c>
      <c r="E30" s="129">
        <v>21960</v>
      </c>
      <c r="F30" s="84">
        <v>52.720222550829945</v>
      </c>
      <c r="G30" s="84">
        <v>70.55546960264843</v>
      </c>
      <c r="H30" s="85">
        <v>1400.7263590499952</v>
      </c>
      <c r="I30" s="86">
        <v>436.5216807978122</v>
      </c>
      <c r="J30" s="87">
        <v>0.5851497061632872</v>
      </c>
      <c r="K30" s="86">
        <v>31.16395132978516</v>
      </c>
      <c r="L30" s="48"/>
      <c r="M30" s="48"/>
      <c r="AA30" s="66">
        <v>63.35745792805657</v>
      </c>
      <c r="AB30" s="66">
        <v>42.29894943588643</v>
      </c>
      <c r="AC30" s="60">
        <v>314.5033110702514</v>
      </c>
      <c r="BA30" s="6">
        <f>BA19+BA19*((1+0.0000102*(BE20-62))/(1+0.000101*(BE20-32))-1)</f>
        <v>27.885138442725953</v>
      </c>
      <c r="BB30" s="6">
        <f>BA30*((980.616/980.665)*(1-0.0026373*COS(2*36.430283*PI()/180)+0.0000059*(COS(2*36.430283*PI()/180))^2)-1)</f>
        <v>-0.02305047291038666</v>
      </c>
      <c r="BC30" s="6">
        <v>1.793016</v>
      </c>
    </row>
    <row r="31" spans="1:53" ht="15" customHeight="1">
      <c r="A31" s="83">
        <v>0.75</v>
      </c>
      <c r="B31" s="126">
        <v>62</v>
      </c>
      <c r="C31" s="127">
        <v>1320</v>
      </c>
      <c r="D31" s="128">
        <v>11.61</v>
      </c>
      <c r="E31" s="129">
        <v>22380</v>
      </c>
      <c r="F31" s="84">
        <v>64.85424202681462</v>
      </c>
      <c r="G31" s="84">
        <v>57.2939784796839</v>
      </c>
      <c r="H31" s="85">
        <v>1365.5530235937915</v>
      </c>
      <c r="I31" s="86">
        <v>436.05901117069993</v>
      </c>
      <c r="J31" s="87">
        <v>0.5845295055907506</v>
      </c>
      <c r="K31" s="86">
        <v>31.93277768322042</v>
      </c>
      <c r="L31" s="48"/>
      <c r="M31" s="48"/>
      <c r="AA31" s="66">
        <v>50.50217219016183</v>
      </c>
      <c r="AB31" s="66">
        <v>50.051998771391794</v>
      </c>
      <c r="AC31" s="60">
        <v>296.6397733382946</v>
      </c>
      <c r="BA31" s="6"/>
    </row>
    <row r="32" spans="1:29" ht="15" customHeight="1">
      <c r="A32" s="83">
        <v>0.625</v>
      </c>
      <c r="B32" s="126">
        <v>71.92</v>
      </c>
      <c r="C32" s="127">
        <v>1264</v>
      </c>
      <c r="D32" s="128">
        <v>11.06</v>
      </c>
      <c r="E32" s="129">
        <v>22980</v>
      </c>
      <c r="F32" s="84">
        <v>75.23092075110496</v>
      </c>
      <c r="G32" s="84">
        <v>42.719350164964666</v>
      </c>
      <c r="H32" s="85">
        <v>1307.6204710776913</v>
      </c>
      <c r="I32" s="86">
        <v>377.15416835606857</v>
      </c>
      <c r="J32" s="87">
        <v>0.5055685902896362</v>
      </c>
      <c r="K32" s="86">
        <v>28.84278555575322</v>
      </c>
      <c r="L32" s="48"/>
      <c r="M32" s="48"/>
      <c r="AA32" s="66">
        <v>37.78730959658672</v>
      </c>
      <c r="AB32" s="66">
        <v>58.43795009346903</v>
      </c>
      <c r="AC32" s="60">
        <v>259.14261811847996</v>
      </c>
    </row>
    <row r="33" spans="1:29" ht="15" customHeight="1">
      <c r="A33" s="83">
        <v>0.5</v>
      </c>
      <c r="B33" s="126">
        <v>81.44</v>
      </c>
      <c r="C33" s="127">
        <v>1184</v>
      </c>
      <c r="D33" s="128">
        <v>10.31</v>
      </c>
      <c r="E33" s="129">
        <v>23880</v>
      </c>
      <c r="F33" s="84">
        <v>85.18918501070617</v>
      </c>
      <c r="G33" s="84">
        <v>29.000135552511388</v>
      </c>
      <c r="H33" s="85">
        <v>1224.8596817689765</v>
      </c>
      <c r="I33" s="86">
        <v>289.9228120726318</v>
      </c>
      <c r="J33" s="87">
        <v>0.3886364773091579</v>
      </c>
      <c r="K33" s="86">
        <v>23.669879610529527</v>
      </c>
      <c r="L33" s="48"/>
      <c r="M33" s="48"/>
      <c r="N33" s="43"/>
      <c r="AA33" s="66">
        <v>25.750320389572817</v>
      </c>
      <c r="AB33" s="66">
        <v>66.82390141554626</v>
      </c>
      <c r="AC33" s="60">
        <v>201.9353547747713</v>
      </c>
    </row>
    <row r="34" spans="1:29" ht="15" customHeight="1">
      <c r="A34" s="83">
        <v>0.375</v>
      </c>
      <c r="B34" s="126">
        <v>91.52</v>
      </c>
      <c r="C34" s="127">
        <v>1098</v>
      </c>
      <c r="D34" s="128">
        <v>9.5</v>
      </c>
      <c r="E34" s="129">
        <v>24960</v>
      </c>
      <c r="F34" s="84">
        <v>95.73322952087216</v>
      </c>
      <c r="G34" s="84">
        <v>17.315299169308158</v>
      </c>
      <c r="H34" s="85">
        <v>1135.8918332621083</v>
      </c>
      <c r="I34" s="86">
        <v>194.53180054935723</v>
      </c>
      <c r="J34" s="87">
        <v>0.26076648867206065</v>
      </c>
      <c r="K34" s="86">
        <v>17.12590889844604</v>
      </c>
      <c r="L34" s="48"/>
      <c r="M34" s="48"/>
      <c r="AA34" s="66">
        <v>15.446485052067105</v>
      </c>
      <c r="AB34" s="66">
        <v>74.89340174433757</v>
      </c>
      <c r="AC34" s="60">
        <v>135.7597791263889</v>
      </c>
    </row>
    <row r="35" spans="1:29" ht="15" customHeight="1">
      <c r="A35" s="83">
        <v>0.25</v>
      </c>
      <c r="B35" s="126">
        <v>98</v>
      </c>
      <c r="C35" s="127">
        <v>1032</v>
      </c>
      <c r="D35" s="128">
        <v>8.89</v>
      </c>
      <c r="E35" s="129">
        <v>26040</v>
      </c>
      <c r="F35" s="84">
        <v>102.51154384883601</v>
      </c>
      <c r="G35" s="84">
        <v>8.252343138256657</v>
      </c>
      <c r="H35" s="85">
        <v>1067.614182082419</v>
      </c>
      <c r="I35" s="86">
        <v>99.27684094450294</v>
      </c>
      <c r="J35" s="87">
        <v>0.13307887526072779</v>
      </c>
      <c r="K35" s="86">
        <v>9.298943626887757</v>
      </c>
      <c r="L35" s="48"/>
      <c r="M35" s="48"/>
      <c r="AA35" s="66">
        <v>7.471521277345599</v>
      </c>
      <c r="AB35" s="66">
        <v>81.85532359662808</v>
      </c>
      <c r="AC35" s="60">
        <v>71.77180431653561</v>
      </c>
    </row>
    <row r="36" spans="1:29" ht="15" customHeight="1">
      <c r="A36" s="83">
        <v>0</v>
      </c>
      <c r="B36" s="126">
        <v>106.88</v>
      </c>
      <c r="C36" s="127">
        <v>974</v>
      </c>
      <c r="D36" s="128">
        <v>8.36</v>
      </c>
      <c r="E36" s="129">
        <v>26880</v>
      </c>
      <c r="F36" s="84">
        <v>111.80034496493461</v>
      </c>
      <c r="G36" s="84">
        <v>0</v>
      </c>
      <c r="H36" s="85">
        <v>1007.6126098336007</v>
      </c>
      <c r="I36" s="88">
        <v>0</v>
      </c>
      <c r="J36" s="89">
        <v>0</v>
      </c>
      <c r="K36" s="86">
        <v>0</v>
      </c>
      <c r="L36" s="48"/>
      <c r="M36" s="48"/>
      <c r="N36" s="29"/>
      <c r="AA36" s="66">
        <v>0</v>
      </c>
      <c r="AB36" s="66">
        <v>87.65692514020354</v>
      </c>
      <c r="AC36" s="70">
        <v>0</v>
      </c>
    </row>
    <row r="37" spans="1:13" ht="23.25">
      <c r="A37" s="5"/>
      <c r="B37" s="130"/>
      <c r="C37" s="131"/>
      <c r="D37" s="132"/>
      <c r="E37" s="133"/>
      <c r="F37" s="131" t="s">
        <v>99</v>
      </c>
      <c r="G37" s="134">
        <v>440.81</v>
      </c>
      <c r="H37" s="135"/>
      <c r="I37" s="136"/>
      <c r="J37" s="137"/>
      <c r="K37" s="5"/>
      <c r="L37" s="5"/>
      <c r="M37" s="5"/>
    </row>
    <row r="38" spans="1:54" ht="15.75" hidden="1">
      <c r="A38" s="5"/>
      <c r="B38" s="5"/>
      <c r="C38" s="5"/>
      <c r="D38" s="5"/>
      <c r="E38" s="5"/>
      <c r="F38" s="138"/>
      <c r="G38" s="138"/>
      <c r="H38" s="5"/>
      <c r="I38" s="138"/>
      <c r="J38" s="5"/>
      <c r="K38" s="5"/>
      <c r="L38" s="5"/>
      <c r="M38" s="5"/>
      <c r="BB38" s="4" t="s">
        <v>17</v>
      </c>
    </row>
    <row r="39" spans="1:58" ht="23.25" hidden="1">
      <c r="A39" s="5"/>
      <c r="B39" s="5"/>
      <c r="C39" s="5"/>
      <c r="D39" s="110"/>
      <c r="E39" s="139"/>
      <c r="F39" s="67"/>
      <c r="G39" s="68"/>
      <c r="H39" s="5"/>
      <c r="I39" s="26"/>
      <c r="J39" s="5"/>
      <c r="K39" s="5"/>
      <c r="L39" s="5"/>
      <c r="M39" s="5"/>
      <c r="BB39" s="4" t="s">
        <v>24</v>
      </c>
      <c r="BD39" s="4" t="s">
        <v>25</v>
      </c>
      <c r="BF39" s="42" t="s">
        <v>91</v>
      </c>
    </row>
    <row r="40" spans="1:66" ht="15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BL40" s="37"/>
      <c r="BM40" s="37"/>
      <c r="BN40" s="37"/>
    </row>
    <row r="41" spans="1:66" ht="15.7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BA41" s="5">
        <f>COUNT(B27:B$36)</f>
        <v>10</v>
      </c>
      <c r="BB41" s="5">
        <f>(0.5757*BD41-0.5853)/(BD41-1.0157)</f>
        <v>0.597453033627889</v>
      </c>
      <c r="BD41" s="5">
        <f aca="true" t="shared" si="0" ref="BD41:BD50">IF(ISERR(($BE$21*0.4912-B26*0.03607)/($BE$21*0.4912)),0,($BE$21*0.4912-B26*0.03607)/($BE$21*0.4912))</f>
        <v>0.9898870485926106</v>
      </c>
      <c r="BF41">
        <f aca="true" t="shared" si="1" ref="BF41:BF50">(I26*63025)/(746*E26)</f>
        <v>0.19461367912446118</v>
      </c>
      <c r="BL41" s="71"/>
      <c r="BM41" s="71"/>
      <c r="BN41" s="71"/>
    </row>
    <row r="42" spans="1:77" ht="15.7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140"/>
      <c r="M42" s="5"/>
      <c r="BA42" s="5">
        <f>COUNT(B28:B$36)</f>
        <v>9</v>
      </c>
      <c r="BB42" s="5">
        <f>(0.5719*BD42-0.582)/(BD42-1.0165)</f>
        <v>0.5855863416617902</v>
      </c>
      <c r="BD42" s="5">
        <f t="shared" si="0"/>
        <v>0.9680100516705026</v>
      </c>
      <c r="BF42">
        <f t="shared" si="1"/>
        <v>0.6069455102192104</v>
      </c>
      <c r="BL42" s="71"/>
      <c r="BM42" s="71"/>
      <c r="BN42" s="71"/>
      <c r="BO42" s="39"/>
      <c r="BP42" s="39"/>
      <c r="BQ42" s="39"/>
      <c r="BS42" s="8"/>
      <c r="BU42" s="10"/>
      <c r="BW42" s="9"/>
      <c r="BY42" s="10"/>
    </row>
    <row r="43" spans="1:77" ht="19.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BA43" s="5">
        <f>COUNT(B29:B$36)</f>
        <v>8</v>
      </c>
      <c r="BB43" s="5">
        <f>(0.5717*BD43-0.5814)/(BD43-1.0152)</f>
        <v>0.5856187428047798</v>
      </c>
      <c r="BD43" s="5">
        <f t="shared" si="0"/>
        <v>0.9426244797703208</v>
      </c>
      <c r="BF43">
        <f t="shared" si="1"/>
        <v>1.0124426447230772</v>
      </c>
      <c r="BL43" s="71"/>
      <c r="BM43" s="71"/>
      <c r="BN43" s="71"/>
      <c r="BO43" s="39"/>
      <c r="BP43" s="39"/>
      <c r="BQ43" s="39"/>
      <c r="BS43" s="8"/>
      <c r="BU43" s="10"/>
      <c r="BW43" s="9"/>
      <c r="BY43" s="10"/>
    </row>
    <row r="44" spans="1:77" ht="19.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140"/>
      <c r="N44" s="30"/>
      <c r="BA44" s="5">
        <f>COUNT(B30:B$36)</f>
        <v>7</v>
      </c>
      <c r="BB44" s="5">
        <f>(0.5687*BD44-0.5785)/(BD44-1.0146)</f>
        <v>0.5816814629939969</v>
      </c>
      <c r="BD44" s="5">
        <f t="shared" si="0"/>
        <v>0.8992832594529372</v>
      </c>
      <c r="BF44">
        <f t="shared" si="1"/>
        <v>1.496859534427259</v>
      </c>
      <c r="BL44" s="71"/>
      <c r="BM44" s="71"/>
      <c r="BN44" s="71"/>
      <c r="BO44" s="39"/>
      <c r="BP44" s="39"/>
      <c r="BQ44" s="39"/>
      <c r="BS44" s="8"/>
      <c r="BU44" s="10"/>
      <c r="BW44" s="9"/>
      <c r="BY44" s="10"/>
    </row>
    <row r="45" spans="1:77" ht="19.5">
      <c r="A45" s="5"/>
      <c r="B45" s="138"/>
      <c r="C45" s="138"/>
      <c r="D45" s="138"/>
      <c r="E45" s="138"/>
      <c r="F45" s="138"/>
      <c r="G45" s="138"/>
      <c r="H45" s="138"/>
      <c r="I45" s="5"/>
      <c r="J45" s="5"/>
      <c r="K45" s="5"/>
      <c r="L45" s="5"/>
      <c r="M45" s="5"/>
      <c r="BA45" s="5">
        <f>COUNT(B31:B$39)</f>
        <v>6</v>
      </c>
      <c r="BB45" s="5">
        <f>(0.574*BD45-0.5841)/(BD45-1.0158)</f>
        <v>0.5810688116953681</v>
      </c>
      <c r="BD45" s="5">
        <f t="shared" si="0"/>
        <v>0.8699763390478492</v>
      </c>
      <c r="BF45">
        <f t="shared" si="1"/>
        <v>1.6793743274563377</v>
      </c>
      <c r="BL45" s="71"/>
      <c r="BM45" s="71"/>
      <c r="BN45" s="71"/>
      <c r="BO45" s="39"/>
      <c r="BP45" s="39"/>
      <c r="BQ45" s="39"/>
      <c r="BS45" s="8"/>
      <c r="BU45" s="10"/>
      <c r="BW45" s="9"/>
      <c r="BY45" s="10"/>
    </row>
    <row r="46" spans="1:77" ht="15.75" customHeight="1">
      <c r="A46" s="5"/>
      <c r="B46" s="138"/>
      <c r="C46" s="138"/>
      <c r="D46" s="138"/>
      <c r="E46" s="138"/>
      <c r="F46" s="138"/>
      <c r="G46" s="138"/>
      <c r="H46" s="138"/>
      <c r="I46" s="5"/>
      <c r="J46" s="5"/>
      <c r="K46" s="5"/>
      <c r="L46" s="5"/>
      <c r="M46" s="5"/>
      <c r="BA46" s="5">
        <f>COUNT(B32:B$36)</f>
        <v>5</v>
      </c>
      <c r="BB46" s="5">
        <f>(0.5715*BD46-0.5807)/(BD46-1.0138)</f>
        <v>0.5790585723900784</v>
      </c>
      <c r="BD46" s="5">
        <f t="shared" si="0"/>
        <v>0.8400502583525129</v>
      </c>
      <c r="BF46">
        <f t="shared" si="1"/>
        <v>1.6461113534341847</v>
      </c>
      <c r="BL46" s="71"/>
      <c r="BM46" s="71"/>
      <c r="BN46" s="71"/>
      <c r="BO46" s="39"/>
      <c r="BP46" s="39"/>
      <c r="BQ46" s="39"/>
      <c r="BS46" s="8"/>
      <c r="BU46" s="10"/>
      <c r="BW46" s="9"/>
      <c r="BY46" s="10"/>
    </row>
    <row r="47" spans="1:77" ht="19.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BA47" s="5">
        <f>COUNT(B33:B$36)</f>
        <v>4</v>
      </c>
      <c r="BB47" s="5">
        <f>(0.5692*BD47-0.5767)/(BD47-1.0104)</f>
        <v>0.5772652561322629</v>
      </c>
      <c r="BD47" s="5">
        <f t="shared" si="0"/>
        <v>0.814458299688915</v>
      </c>
      <c r="BF47">
        <f t="shared" si="1"/>
        <v>1.3865735597477944</v>
      </c>
      <c r="BL47" s="71"/>
      <c r="BM47" s="71"/>
      <c r="BN47" s="71"/>
      <c r="BO47" s="39"/>
      <c r="BP47" s="39"/>
      <c r="BQ47" s="39"/>
      <c r="BS47" s="8"/>
      <c r="BU47" s="10"/>
      <c r="BW47" s="9"/>
      <c r="BY47" s="10"/>
    </row>
    <row r="48" spans="1:77" ht="19.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BA48" s="5">
        <f>COUNT(B34:B$36)</f>
        <v>3</v>
      </c>
      <c r="BB48" s="5">
        <f>(0.5694*BD48-0.5786)/(BD48-1.0138)</f>
        <v>0.5753949515755412</v>
      </c>
      <c r="BD48" s="5">
        <f t="shared" si="0"/>
        <v>0.7898982748423977</v>
      </c>
      <c r="BF48">
        <f t="shared" si="1"/>
        <v>1.025704103115983</v>
      </c>
      <c r="BL48" s="71"/>
      <c r="BM48" s="71"/>
      <c r="BN48" s="71"/>
      <c r="BO48" s="39"/>
      <c r="BP48" s="39"/>
      <c r="BQ48" s="39"/>
      <c r="BS48" s="8"/>
      <c r="BU48" s="10"/>
      <c r="BW48" s="9"/>
      <c r="BY48" s="10"/>
    </row>
    <row r="49" spans="1:77" ht="19.5" hidden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BA49" s="5">
        <f>COUNT(B35:B$36)</f>
        <v>2</v>
      </c>
      <c r="BB49" s="5">
        <f>(0.5553*BD49-0.5754)/(BD49-1.0263)</f>
        <v>0.5762431202857602</v>
      </c>
      <c r="BD49" s="5">
        <f t="shared" si="0"/>
        <v>0.7638935426519675</v>
      </c>
      <c r="BF49">
        <f t="shared" si="1"/>
        <v>0.6584458312723005</v>
      </c>
      <c r="BL49" s="71"/>
      <c r="BM49" s="71"/>
      <c r="BN49" s="71"/>
      <c r="BO49" s="39"/>
      <c r="BP49" s="39"/>
      <c r="BQ49" s="39"/>
      <c r="BS49" s="8"/>
      <c r="BU49" s="10"/>
      <c r="BW49" s="9"/>
      <c r="BY49" s="10"/>
    </row>
    <row r="50" spans="1:77" ht="19.5" hidden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BB50" s="5">
        <f>(0.5575*BD50-0.5955)/(BD50-1.0468)</f>
        <v>0.5972465107540024</v>
      </c>
      <c r="BD50" s="5">
        <f t="shared" si="0"/>
        <v>0.7471762148152624</v>
      </c>
      <c r="BF50">
        <f t="shared" si="1"/>
        <v>0.3220927846892231</v>
      </c>
      <c r="BL50" s="71"/>
      <c r="BM50" s="71"/>
      <c r="BN50" s="72"/>
      <c r="BO50" s="39"/>
      <c r="BP50" s="39"/>
      <c r="BQ50" s="39"/>
      <c r="BS50" s="8"/>
      <c r="BU50" s="10"/>
      <c r="BW50" s="9"/>
      <c r="BY50" s="10"/>
    </row>
    <row r="51" spans="1:77" ht="15.75" hidden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BL51" s="35"/>
      <c r="BM51" s="35"/>
      <c r="BN51" s="35"/>
      <c r="BO51" s="39"/>
      <c r="BP51" s="39"/>
      <c r="BQ51" s="39"/>
      <c r="BS51" s="8"/>
      <c r="BU51" s="10"/>
      <c r="BW51" s="9"/>
      <c r="BY51" s="10"/>
    </row>
    <row r="52" spans="1:69" ht="15.75" hidden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BL52" s="35"/>
      <c r="BM52" s="35"/>
      <c r="BN52" s="35"/>
      <c r="BO52" s="39"/>
      <c r="BP52" s="39"/>
      <c r="BQ52" s="39"/>
    </row>
    <row r="53" spans="1:69" ht="15.75" hidden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BL53" s="35"/>
      <c r="BM53" s="35"/>
      <c r="BN53" s="35"/>
      <c r="BO53" s="39"/>
      <c r="BP53" s="39"/>
      <c r="BQ53" s="39"/>
    </row>
    <row r="54" spans="1:69" ht="15.7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BL54" s="35"/>
      <c r="BM54" s="35"/>
      <c r="BN54" s="35"/>
      <c r="BO54" s="39"/>
      <c r="BP54" s="39"/>
      <c r="BQ54" s="39"/>
    </row>
    <row r="55" spans="1:69" ht="15.75">
      <c r="A55" s="163" t="s">
        <v>98</v>
      </c>
      <c r="B55" s="164"/>
      <c r="C55" s="164"/>
      <c r="D55" s="164"/>
      <c r="E55" s="164"/>
      <c r="F55" s="69" t="s">
        <v>11</v>
      </c>
      <c r="G55" s="55" t="s">
        <v>12</v>
      </c>
      <c r="H55" s="55" t="s">
        <v>11</v>
      </c>
      <c r="I55" s="120"/>
      <c r="J55" s="120"/>
      <c r="K55" s="121"/>
      <c r="L55" s="5"/>
      <c r="M55" s="5"/>
      <c r="BL55" s="35"/>
      <c r="BM55" s="35"/>
      <c r="BN55" s="35"/>
      <c r="BO55" s="39"/>
      <c r="BP55" s="39"/>
      <c r="BQ55" s="39"/>
    </row>
    <row r="56" spans="1:69" ht="15.75">
      <c r="A56" s="57" t="s">
        <v>13</v>
      </c>
      <c r="B56" s="56" t="s">
        <v>14</v>
      </c>
      <c r="C56" s="56" t="s">
        <v>15</v>
      </c>
      <c r="D56" s="141"/>
      <c r="E56" s="142"/>
      <c r="F56" s="56" t="s">
        <v>14</v>
      </c>
      <c r="G56" s="56" t="s">
        <v>16</v>
      </c>
      <c r="H56" s="56" t="s">
        <v>15</v>
      </c>
      <c r="I56" s="56" t="s">
        <v>12</v>
      </c>
      <c r="J56" s="56"/>
      <c r="K56" s="62" t="s">
        <v>85</v>
      </c>
      <c r="L56" s="5"/>
      <c r="M56" s="5"/>
      <c r="BL56" s="35"/>
      <c r="BM56" s="35"/>
      <c r="BN56" s="35"/>
      <c r="BO56" s="39"/>
      <c r="BP56" s="39"/>
      <c r="BQ56" s="39"/>
    </row>
    <row r="57" spans="1:69" ht="17.25">
      <c r="A57" s="64" t="s">
        <v>95</v>
      </c>
      <c r="B57" s="58" t="s">
        <v>96</v>
      </c>
      <c r="C57" s="56" t="s">
        <v>20</v>
      </c>
      <c r="D57" s="56" t="s">
        <v>19</v>
      </c>
      <c r="E57" s="59" t="s">
        <v>21</v>
      </c>
      <c r="F57" s="58" t="s">
        <v>96</v>
      </c>
      <c r="G57" s="65" t="s">
        <v>97</v>
      </c>
      <c r="H57" s="56" t="s">
        <v>20</v>
      </c>
      <c r="I57" s="56" t="s">
        <v>20</v>
      </c>
      <c r="J57" s="56" t="s">
        <v>23</v>
      </c>
      <c r="K57" s="63" t="s">
        <v>86</v>
      </c>
      <c r="L57" s="5"/>
      <c r="M57" s="5"/>
      <c r="BO57" s="19"/>
      <c r="BP57" s="19"/>
      <c r="BQ57" s="19"/>
    </row>
    <row r="58" spans="1:69" ht="15.75">
      <c r="A58" s="73">
        <f>AIRFLOW!A26*25.4</f>
        <v>50.8</v>
      </c>
      <c r="B58" s="143">
        <f>AIRFLOW!B26*25.4</f>
        <v>99.568</v>
      </c>
      <c r="C58" s="144">
        <f>AIRFLOW!C26</f>
        <v>1350</v>
      </c>
      <c r="D58" s="145">
        <f>AIRFLOW!D26</f>
        <v>11.9</v>
      </c>
      <c r="E58" s="146">
        <f>AIRFLOW!E26</f>
        <v>22080</v>
      </c>
      <c r="F58" s="74">
        <f>25.4*AIRFLOW!F26</f>
        <v>104.15172855041737</v>
      </c>
      <c r="G58" s="75">
        <f>AIRFLOW!G26*0.472</f>
        <v>49.889567756458625</v>
      </c>
      <c r="H58" s="74">
        <f>AIRFLOW!H26</f>
        <v>1396.5883195845595</v>
      </c>
      <c r="I58" s="75">
        <f>AIRFLOW!I26</f>
        <v>50.86258224769226</v>
      </c>
      <c r="J58" s="76">
        <f>AIRFLOW!J26</f>
        <v>0.06818040515776443</v>
      </c>
      <c r="K58" s="77">
        <f>AIRFLOW!K26</f>
        <v>3.6419166288618436</v>
      </c>
      <c r="L58" s="5"/>
      <c r="M58" s="5"/>
      <c r="BO58" s="19"/>
      <c r="BP58" s="19"/>
      <c r="BQ58" s="19"/>
    </row>
    <row r="59" spans="1:69" ht="15.75">
      <c r="A59" s="73">
        <f>AIRFLOW!A27*25.4</f>
        <v>38.099999999999994</v>
      </c>
      <c r="B59" s="143">
        <f>AIRFLOW!B27*25.4</f>
        <v>314.96</v>
      </c>
      <c r="C59" s="144">
        <f>AIRFLOW!C27</f>
        <v>1352</v>
      </c>
      <c r="D59" s="145">
        <f>AIRFLOW!D27</f>
        <v>11.94</v>
      </c>
      <c r="E59" s="146">
        <f>AIRFLOW!E27</f>
        <v>21960</v>
      </c>
      <c r="F59" s="74">
        <f>25.4*AIRFLOW!F27</f>
        <v>329.45954949621824</v>
      </c>
      <c r="G59" s="75">
        <f>AIRFLOW!G27*0.472</f>
        <v>48.919693796633844</v>
      </c>
      <c r="H59" s="74">
        <f>AIRFLOW!H27</f>
        <v>1398.6573393172773</v>
      </c>
      <c r="I59" s="75">
        <f>AIRFLOW!I27</f>
        <v>157.76403744058294</v>
      </c>
      <c r="J59" s="76">
        <f>AIRFLOW!J27</f>
        <v>0.21147994294984307</v>
      </c>
      <c r="K59" s="77">
        <f>AIRFLOW!K27</f>
        <v>11.27967751683853</v>
      </c>
      <c r="L59" s="5"/>
      <c r="M59" s="5"/>
      <c r="BA59" s="16"/>
      <c r="BB59" s="16"/>
      <c r="BC59" s="16"/>
      <c r="BO59" s="19"/>
      <c r="BP59" s="19"/>
      <c r="BQ59" s="19"/>
    </row>
    <row r="60" spans="1:69" ht="15.75">
      <c r="A60" s="73">
        <f>AIRFLOW!A28*25.4</f>
        <v>31.75</v>
      </c>
      <c r="B60" s="143">
        <f>AIRFLOW!B28*25.4</f>
        <v>564.896</v>
      </c>
      <c r="C60" s="144">
        <f>AIRFLOW!C28</f>
        <v>1362</v>
      </c>
      <c r="D60" s="145">
        <f>AIRFLOW!D28</f>
        <v>12.01</v>
      </c>
      <c r="E60" s="146">
        <f>AIRFLOW!E28</f>
        <v>21960</v>
      </c>
      <c r="F60" s="74">
        <f>25.4*AIRFLOW!F28</f>
        <v>590.901643612572</v>
      </c>
      <c r="G60" s="75">
        <f>AIRFLOW!G28*0.472</f>
        <v>45.49790072206517</v>
      </c>
      <c r="H60" s="74">
        <f>AIRFLOW!H28</f>
        <v>1409.0024379808667</v>
      </c>
      <c r="I60" s="75">
        <f>AIRFLOW!I28</f>
        <v>263.1653692451663</v>
      </c>
      <c r="J60" s="76">
        <f>AIRFLOW!J28</f>
        <v>0.3527685914814562</v>
      </c>
      <c r="K60" s="77">
        <f>AIRFLOW!K28</f>
        <v>18.677424690782534</v>
      </c>
      <c r="L60" s="5"/>
      <c r="M60" s="5"/>
      <c r="BO60" s="19"/>
      <c r="BP60" s="19"/>
      <c r="BQ60" s="19"/>
    </row>
    <row r="61" spans="1:69" ht="15.75">
      <c r="A61" s="73">
        <f>AIRFLOW!A29*25.4</f>
        <v>25.4</v>
      </c>
      <c r="B61" s="143">
        <f>AIRFLOW!B29*25.4</f>
        <v>991.6159999999999</v>
      </c>
      <c r="C61" s="144">
        <f>AIRFLOW!C29</f>
        <v>1364</v>
      </c>
      <c r="D61" s="145">
        <f>AIRFLOW!D29</f>
        <v>12.04</v>
      </c>
      <c r="E61" s="146">
        <f>AIRFLOW!E29</f>
        <v>21960</v>
      </c>
      <c r="F61" s="74">
        <f>25.4*AIRFLOW!F29</f>
        <v>1037.2661945429322</v>
      </c>
      <c r="G61" s="75">
        <f>AIRFLOW!G29*0.472</f>
        <v>38.32012799288143</v>
      </c>
      <c r="H61" s="74">
        <f>AIRFLOW!H29</f>
        <v>1411.0714577135846</v>
      </c>
      <c r="I61" s="75">
        <f>AIRFLOW!I29</f>
        <v>389.080402864147</v>
      </c>
      <c r="J61" s="76">
        <f>AIRFLOW!J29</f>
        <v>0.5215554998178914</v>
      </c>
      <c r="K61" s="77">
        <f>AIRFLOW!K29</f>
        <v>27.573401810181146</v>
      </c>
      <c r="L61" s="5"/>
      <c r="M61" s="5"/>
      <c r="BO61" s="19"/>
      <c r="BP61" s="19"/>
      <c r="BQ61" s="19"/>
    </row>
    <row r="62" spans="1:69" ht="15.75">
      <c r="A62" s="73">
        <f>AIRFLOW!A30*25.4</f>
        <v>22.224999999999998</v>
      </c>
      <c r="B62" s="143">
        <f>AIRFLOW!B30*25.4</f>
        <v>1280.1599999999999</v>
      </c>
      <c r="C62" s="144">
        <f>AIRFLOW!C30</f>
        <v>1354</v>
      </c>
      <c r="D62" s="145">
        <f>AIRFLOW!D30</f>
        <v>11.92</v>
      </c>
      <c r="E62" s="146">
        <f>AIRFLOW!E30</f>
        <v>21960</v>
      </c>
      <c r="F62" s="74">
        <f>25.4*AIRFLOW!F30</f>
        <v>1339.0936527910806</v>
      </c>
      <c r="G62" s="75">
        <f>AIRFLOW!G30*0.472</f>
        <v>33.30218165245006</v>
      </c>
      <c r="H62" s="74">
        <f>AIRFLOW!H30</f>
        <v>1400.7263590499952</v>
      </c>
      <c r="I62" s="75">
        <f>AIRFLOW!I30</f>
        <v>436.5216807978122</v>
      </c>
      <c r="J62" s="76">
        <f>AIRFLOW!J30</f>
        <v>0.5851497061632872</v>
      </c>
      <c r="K62" s="77">
        <f>AIRFLOW!K30</f>
        <v>31.16395132978516</v>
      </c>
      <c r="L62" s="5"/>
      <c r="M62" s="5"/>
      <c r="BO62" s="19"/>
      <c r="BP62" s="19"/>
      <c r="BQ62" s="19"/>
    </row>
    <row r="63" spans="1:69" ht="15.75">
      <c r="A63" s="73">
        <f>AIRFLOW!A31*25.4</f>
        <v>19.049999999999997</v>
      </c>
      <c r="B63" s="143">
        <f>AIRFLOW!B31*25.4</f>
        <v>1574.8</v>
      </c>
      <c r="C63" s="144">
        <f>AIRFLOW!C31</f>
        <v>1320</v>
      </c>
      <c r="D63" s="145">
        <f>AIRFLOW!D31</f>
        <v>11.61</v>
      </c>
      <c r="E63" s="146">
        <f>AIRFLOW!E31</f>
        <v>22380</v>
      </c>
      <c r="F63" s="74">
        <f>25.4*AIRFLOW!F31</f>
        <v>1647.2977474810912</v>
      </c>
      <c r="G63" s="75">
        <f>AIRFLOW!G31*0.472</f>
        <v>27.0427578424108</v>
      </c>
      <c r="H63" s="74">
        <f>AIRFLOW!H31</f>
        <v>1365.5530235937915</v>
      </c>
      <c r="I63" s="75">
        <f>AIRFLOW!I31</f>
        <v>436.05901117069993</v>
      </c>
      <c r="J63" s="76">
        <f>AIRFLOW!J31</f>
        <v>0.5845295055907506</v>
      </c>
      <c r="K63" s="77">
        <f>AIRFLOW!K31</f>
        <v>31.93277768322042</v>
      </c>
      <c r="L63" s="5"/>
      <c r="M63" s="5"/>
      <c r="BO63" s="19"/>
      <c r="BP63" s="19"/>
      <c r="BQ63" s="19"/>
    </row>
    <row r="64" spans="1:69" ht="15.75">
      <c r="A64" s="73">
        <f>AIRFLOW!A32*25.4</f>
        <v>15.875</v>
      </c>
      <c r="B64" s="143">
        <f>AIRFLOW!B32*25.4</f>
        <v>1826.768</v>
      </c>
      <c r="C64" s="144">
        <f>AIRFLOW!C32</f>
        <v>1264</v>
      </c>
      <c r="D64" s="145">
        <f>AIRFLOW!D32</f>
        <v>11.06</v>
      </c>
      <c r="E64" s="146">
        <f>AIRFLOW!E32</f>
        <v>22980</v>
      </c>
      <c r="F64" s="74">
        <f>25.4*AIRFLOW!F32</f>
        <v>1910.8653870780659</v>
      </c>
      <c r="G64" s="75">
        <f>AIRFLOW!G32*0.472</f>
        <v>20.163533277863323</v>
      </c>
      <c r="H64" s="74">
        <f>AIRFLOW!H32</f>
        <v>1307.6204710776913</v>
      </c>
      <c r="I64" s="75">
        <f>AIRFLOW!I32</f>
        <v>377.15416835606857</v>
      </c>
      <c r="J64" s="76">
        <f>AIRFLOW!J32</f>
        <v>0.5055685902896362</v>
      </c>
      <c r="K64" s="77">
        <f>AIRFLOW!K32</f>
        <v>28.84278555575322</v>
      </c>
      <c r="L64" s="5"/>
      <c r="M64" s="5"/>
      <c r="BD64" s="3" t="s">
        <v>30</v>
      </c>
      <c r="BE64" s="8">
        <f aca="true" t="shared" si="2" ref="BE64:BK64">BB120^2</f>
        <v>9089.061051364033</v>
      </c>
      <c r="BF64" s="8">
        <f t="shared" si="2"/>
        <v>7866.699081605215</v>
      </c>
      <c r="BG64" s="8">
        <f t="shared" si="2"/>
        <v>5506.406532402785</v>
      </c>
      <c r="BH64" s="8">
        <f t="shared" si="2"/>
        <v>4014.167475105458</v>
      </c>
      <c r="BI64" s="8">
        <f t="shared" si="2"/>
        <v>2550.4693959247547</v>
      </c>
      <c r="BJ64" s="8">
        <f t="shared" si="2"/>
        <v>1427.8807665482946</v>
      </c>
      <c r="BK64" s="8">
        <f t="shared" si="2"/>
        <v>663.0790001656495</v>
      </c>
      <c r="BO64" s="19"/>
      <c r="BP64" s="19"/>
      <c r="BQ64" s="19"/>
    </row>
    <row r="65" spans="1:69" ht="15.75">
      <c r="A65" s="73">
        <f>AIRFLOW!A33*25.4</f>
        <v>12.7</v>
      </c>
      <c r="B65" s="143">
        <f>AIRFLOW!B33*25.4</f>
        <v>2068.576</v>
      </c>
      <c r="C65" s="144">
        <f>AIRFLOW!C33</f>
        <v>1184</v>
      </c>
      <c r="D65" s="145">
        <f>AIRFLOW!D33</f>
        <v>10.31</v>
      </c>
      <c r="E65" s="146">
        <f>AIRFLOW!E33</f>
        <v>23880</v>
      </c>
      <c r="F65" s="74">
        <f>25.4*AIRFLOW!F33</f>
        <v>2163.8052992719367</v>
      </c>
      <c r="G65" s="75">
        <f>AIRFLOW!G33*0.472</f>
        <v>13.688063980785374</v>
      </c>
      <c r="H65" s="74">
        <f>AIRFLOW!H33</f>
        <v>1224.8596817689765</v>
      </c>
      <c r="I65" s="75">
        <f>AIRFLOW!I33</f>
        <v>289.9228120726318</v>
      </c>
      <c r="J65" s="76">
        <f>AIRFLOW!J33</f>
        <v>0.3886364773091579</v>
      </c>
      <c r="K65" s="77">
        <f>AIRFLOW!K33</f>
        <v>23.669879610529527</v>
      </c>
      <c r="L65" s="5"/>
      <c r="M65" s="5"/>
      <c r="BD65" s="3" t="s">
        <v>31</v>
      </c>
      <c r="BE65" s="8">
        <f aca="true" t="shared" si="3" ref="BE65:BK65">BB120^3</f>
        <v>866519.879988746</v>
      </c>
      <c r="BF65" s="8">
        <f t="shared" si="3"/>
        <v>697732.2654589544</v>
      </c>
      <c r="BG65" s="8">
        <f t="shared" si="3"/>
        <v>408603.80602589576</v>
      </c>
      <c r="BH65" s="8">
        <f t="shared" si="3"/>
        <v>254327.4469201671</v>
      </c>
      <c r="BI65" s="8">
        <f t="shared" si="3"/>
        <v>128804.24459872999</v>
      </c>
      <c r="BJ65" s="8">
        <f t="shared" si="3"/>
        <v>53955.77259257197</v>
      </c>
      <c r="BK65" s="8">
        <f t="shared" si="3"/>
        <v>17074.496697863084</v>
      </c>
      <c r="BO65" s="19"/>
      <c r="BP65" s="19"/>
      <c r="BQ65" s="19"/>
    </row>
    <row r="66" spans="1:69" ht="15.75">
      <c r="A66" s="73">
        <f>AIRFLOW!A34*25.4</f>
        <v>9.524999999999999</v>
      </c>
      <c r="B66" s="143">
        <f>AIRFLOW!B34*25.4</f>
        <v>2324.6079999999997</v>
      </c>
      <c r="C66" s="144">
        <f>AIRFLOW!C34</f>
        <v>1098</v>
      </c>
      <c r="D66" s="145">
        <f>AIRFLOW!D34</f>
        <v>9.5</v>
      </c>
      <c r="E66" s="146">
        <f>AIRFLOW!E34</f>
        <v>24960</v>
      </c>
      <c r="F66" s="74">
        <f>25.4*AIRFLOW!F34</f>
        <v>2431.6240298301527</v>
      </c>
      <c r="G66" s="75">
        <f>AIRFLOW!G34*0.472</f>
        <v>8.17282120791345</v>
      </c>
      <c r="H66" s="74">
        <f>AIRFLOW!H34</f>
        <v>1135.8918332621083</v>
      </c>
      <c r="I66" s="75">
        <f>AIRFLOW!I34</f>
        <v>194.53180054935723</v>
      </c>
      <c r="J66" s="76">
        <f>AIRFLOW!J34</f>
        <v>0.26076648867206065</v>
      </c>
      <c r="K66" s="77">
        <f>AIRFLOW!K34</f>
        <v>17.12590889844604</v>
      </c>
      <c r="L66" s="5"/>
      <c r="M66" s="5"/>
      <c r="BD66" s="3" t="s">
        <v>32</v>
      </c>
      <c r="BE66" s="8">
        <f aca="true" t="shared" si="4" ref="BE66:BK66">BB120^4</f>
        <v>82611030.79542266</v>
      </c>
      <c r="BF66" s="8">
        <f t="shared" si="4"/>
        <v>61884954.44052833</v>
      </c>
      <c r="BG66" s="8">
        <f t="shared" si="4"/>
        <v>30320512.900088064</v>
      </c>
      <c r="BH66" s="8">
        <f t="shared" si="4"/>
        <v>16113540.518194526</v>
      </c>
      <c r="BI66" s="8">
        <f t="shared" si="4"/>
        <v>6504894.139548783</v>
      </c>
      <c r="BJ66" s="8">
        <f t="shared" si="4"/>
        <v>2038843.4834785452</v>
      </c>
      <c r="BK66" s="8">
        <f t="shared" si="4"/>
        <v>439673.76046067744</v>
      </c>
      <c r="BO66" s="19"/>
      <c r="BP66" s="19"/>
      <c r="BQ66" s="19"/>
    </row>
    <row r="67" spans="1:69" ht="15.75">
      <c r="A67" s="73">
        <f>AIRFLOW!A35*25.4</f>
        <v>6.35</v>
      </c>
      <c r="B67" s="143">
        <f>AIRFLOW!B35*25.4</f>
        <v>2489.2</v>
      </c>
      <c r="C67" s="144">
        <f>AIRFLOW!C35</f>
        <v>1032</v>
      </c>
      <c r="D67" s="145">
        <f>AIRFLOW!D35</f>
        <v>8.89</v>
      </c>
      <c r="E67" s="146">
        <f>AIRFLOW!E35</f>
        <v>26040</v>
      </c>
      <c r="F67" s="74">
        <f>25.4*AIRFLOW!F35</f>
        <v>2603.7932137604344</v>
      </c>
      <c r="G67" s="75">
        <f>AIRFLOW!G35*0.472</f>
        <v>3.895105961257142</v>
      </c>
      <c r="H67" s="74">
        <f>AIRFLOW!H35</f>
        <v>1067.614182082419</v>
      </c>
      <c r="I67" s="75">
        <f>AIRFLOW!I35</f>
        <v>99.27684094450294</v>
      </c>
      <c r="J67" s="76">
        <f>AIRFLOW!J35</f>
        <v>0.13307887526072779</v>
      </c>
      <c r="K67" s="77">
        <f>AIRFLOW!K35</f>
        <v>9.298943626887757</v>
      </c>
      <c r="L67" s="5"/>
      <c r="M67" s="5"/>
      <c r="BD67" s="3" t="s">
        <v>33</v>
      </c>
      <c r="BE67" s="8">
        <f aca="true" t="shared" si="5" ref="BE67:BK67">BB120^5</f>
        <v>7875852091.438348</v>
      </c>
      <c r="BF67" s="8">
        <f t="shared" si="5"/>
        <v>5488849771.8922825</v>
      </c>
      <c r="BG67" s="8">
        <f t="shared" si="5"/>
        <v>2249938666.6656327</v>
      </c>
      <c r="BH67" s="8">
        <f t="shared" si="5"/>
        <v>1020912965.4535445</v>
      </c>
      <c r="BI67" s="8">
        <f t="shared" si="5"/>
        <v>328511283.91426724</v>
      </c>
      <c r="BJ67" s="8">
        <f t="shared" si="5"/>
        <v>77042409.92918712</v>
      </c>
      <c r="BK67" s="8">
        <f t="shared" si="5"/>
        <v>11321740.198750736</v>
      </c>
      <c r="BO67" s="19"/>
      <c r="BP67" s="19"/>
      <c r="BQ67" s="19"/>
    </row>
    <row r="68" spans="1:69" ht="15.75">
      <c r="A68" s="73">
        <f>AIRFLOW!A36*25.4</f>
        <v>0</v>
      </c>
      <c r="B68" s="143">
        <f>AIRFLOW!B36*25.4</f>
        <v>2714.752</v>
      </c>
      <c r="C68" s="144">
        <f>AIRFLOW!C36</f>
        <v>974</v>
      </c>
      <c r="D68" s="145">
        <f>AIRFLOW!D36</f>
        <v>8.36</v>
      </c>
      <c r="E68" s="146">
        <f>AIRFLOW!E36</f>
        <v>26880</v>
      </c>
      <c r="F68" s="74">
        <f>25.4*AIRFLOW!F36</f>
        <v>2839.7287621093387</v>
      </c>
      <c r="G68" s="75">
        <f>AIRFLOW!G36*0.472</f>
        <v>0</v>
      </c>
      <c r="H68" s="74">
        <f>AIRFLOW!H36</f>
        <v>1007.6126098336007</v>
      </c>
      <c r="I68" s="75">
        <f>AIRFLOW!I36</f>
        <v>0</v>
      </c>
      <c r="J68" s="76">
        <f>AIRFLOW!J36</f>
        <v>0</v>
      </c>
      <c r="K68" s="77">
        <f>AIRFLOW!K36</f>
        <v>0</v>
      </c>
      <c r="L68" s="5"/>
      <c r="M68" s="5"/>
      <c r="BD68" s="3" t="s">
        <v>34</v>
      </c>
      <c r="BE68" s="8">
        <f aca="true" t="shared" si="6" ref="BE68:BK68">BB120^6</f>
        <v>750856702415.7108</v>
      </c>
      <c r="BF68" s="8">
        <f t="shared" si="6"/>
        <v>486830314262.4848</v>
      </c>
      <c r="BG68" s="8">
        <f t="shared" si="6"/>
        <v>166957070298.84784</v>
      </c>
      <c r="BH68" s="8">
        <f t="shared" si="6"/>
        <v>64682450256.93041</v>
      </c>
      <c r="BI68" s="8">
        <f t="shared" si="6"/>
        <v>16590533426.649462</v>
      </c>
      <c r="BJ68" s="8">
        <f t="shared" si="6"/>
        <v>2911225396.0613403</v>
      </c>
      <c r="BK68" s="8">
        <f t="shared" si="6"/>
        <v>291538437.48533726</v>
      </c>
      <c r="BO68" s="19"/>
      <c r="BP68" s="19"/>
      <c r="BQ68" s="19"/>
    </row>
    <row r="69" spans="1:63" ht="23.25">
      <c r="A69" s="5"/>
      <c r="B69" s="130"/>
      <c r="C69" s="147"/>
      <c r="D69" s="132"/>
      <c r="E69" s="133"/>
      <c r="F69" s="131" t="s">
        <v>99</v>
      </c>
      <c r="G69" s="134">
        <f>G37</f>
        <v>440.81</v>
      </c>
      <c r="H69" s="135"/>
      <c r="I69" s="136"/>
      <c r="J69" s="137"/>
      <c r="K69" s="5"/>
      <c r="L69" s="5"/>
      <c r="M69" s="5"/>
      <c r="BD69" s="3" t="s">
        <v>35</v>
      </c>
      <c r="BE69" s="8">
        <f aca="true" t="shared" si="7" ref="BE69:BK69">BB120*BB121</f>
        <v>11645.079986883691</v>
      </c>
      <c r="BF69" s="8">
        <f t="shared" si="7"/>
        <v>18064.234287005165</v>
      </c>
      <c r="BG69" s="8">
        <f t="shared" si="7"/>
        <v>21880.4580672811</v>
      </c>
      <c r="BH69" s="8">
        <f t="shared" si="7"/>
        <v>19926.130299367942</v>
      </c>
      <c r="BI69" s="8">
        <f t="shared" si="7"/>
        <v>14980.952911581131</v>
      </c>
      <c r="BJ69" s="8">
        <f t="shared" si="7"/>
        <v>9792.302340513044</v>
      </c>
      <c r="BK69" s="8">
        <f t="shared" si="7"/>
        <v>5199.900083432414</v>
      </c>
    </row>
    <row r="70" spans="1:63" ht="15.7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BD70" s="3" t="s">
        <v>36</v>
      </c>
      <c r="BE70" s="8">
        <f aca="true" t="shared" si="8" ref="BE70:BK70">BE64*BB121</f>
        <v>1110201.9510782636</v>
      </c>
      <c r="BF70" s="8">
        <f t="shared" si="8"/>
        <v>1602196.675137288</v>
      </c>
      <c r="BG70" s="8">
        <f t="shared" si="8"/>
        <v>1623643.0040663572</v>
      </c>
      <c r="BH70" s="8">
        <f t="shared" si="8"/>
        <v>1262468.9621111776</v>
      </c>
      <c r="BI70" s="8">
        <f t="shared" si="8"/>
        <v>756570.6635133765</v>
      </c>
      <c r="BJ70" s="8">
        <f t="shared" si="8"/>
        <v>370024.76020434714</v>
      </c>
      <c r="BK70" s="8">
        <f t="shared" si="8"/>
        <v>133899.09314215108</v>
      </c>
    </row>
    <row r="71" spans="1:63" ht="15.75">
      <c r="A71" s="157"/>
      <c r="B71" s="157"/>
      <c r="C71" s="157"/>
      <c r="D71" s="157"/>
      <c r="E71" s="158"/>
      <c r="F71" s="69" t="s">
        <v>11</v>
      </c>
      <c r="G71" s="55" t="s">
        <v>12</v>
      </c>
      <c r="H71" s="55" t="s">
        <v>11</v>
      </c>
      <c r="I71" s="120"/>
      <c r="J71" s="120"/>
      <c r="K71" s="121"/>
      <c r="L71" s="5"/>
      <c r="M71" s="5"/>
      <c r="BD71" s="3" t="s">
        <v>37</v>
      </c>
      <c r="BE71" s="8">
        <f aca="true" t="shared" si="9" ref="BE71:BK71">BE65*BB121</f>
        <v>105842842.94880334</v>
      </c>
      <c r="BF71" s="8">
        <f t="shared" si="9"/>
        <v>142105895.27548495</v>
      </c>
      <c r="BG71" s="8">
        <f t="shared" si="9"/>
        <v>120482697.23364186</v>
      </c>
      <c r="BH71" s="8">
        <f t="shared" si="9"/>
        <v>79986824.15243617</v>
      </c>
      <c r="BI71" s="8">
        <f t="shared" si="9"/>
        <v>38208461.92277752</v>
      </c>
      <c r="BJ71" s="8">
        <f t="shared" si="9"/>
        <v>13982240.172244426</v>
      </c>
      <c r="BK71" s="8">
        <f t="shared" si="9"/>
        <v>3447944.5482836426</v>
      </c>
    </row>
    <row r="72" spans="1:13" ht="15.75">
      <c r="A72" s="57" t="s">
        <v>13</v>
      </c>
      <c r="B72" s="56" t="s">
        <v>14</v>
      </c>
      <c r="C72" s="56" t="s">
        <v>15</v>
      </c>
      <c r="D72" s="141"/>
      <c r="E72" s="142"/>
      <c r="F72" s="56" t="s">
        <v>14</v>
      </c>
      <c r="G72" s="56" t="s">
        <v>16</v>
      </c>
      <c r="H72" s="56" t="s">
        <v>15</v>
      </c>
      <c r="I72" s="56" t="s">
        <v>12</v>
      </c>
      <c r="J72" s="56"/>
      <c r="K72" s="62" t="s">
        <v>85</v>
      </c>
      <c r="L72" s="5"/>
      <c r="M72" s="5"/>
    </row>
    <row r="73" spans="1:13" ht="15.75">
      <c r="A73" s="64" t="s">
        <v>95</v>
      </c>
      <c r="B73" s="58" t="s">
        <v>104</v>
      </c>
      <c r="C73" s="56" t="s">
        <v>20</v>
      </c>
      <c r="D73" s="56" t="s">
        <v>19</v>
      </c>
      <c r="E73" s="59" t="s">
        <v>21</v>
      </c>
      <c r="F73" s="58" t="s">
        <v>104</v>
      </c>
      <c r="G73" s="65" t="s">
        <v>103</v>
      </c>
      <c r="H73" s="56" t="s">
        <v>20</v>
      </c>
      <c r="I73" s="56" t="s">
        <v>20</v>
      </c>
      <c r="J73" s="56" t="s">
        <v>23</v>
      </c>
      <c r="K73" s="63" t="s">
        <v>86</v>
      </c>
      <c r="L73" s="5"/>
      <c r="M73" s="5"/>
    </row>
    <row r="74" spans="1:58" ht="15.75">
      <c r="A74" s="78">
        <f>AIRFLOW!A26*25.4</f>
        <v>50.8</v>
      </c>
      <c r="B74" s="148">
        <f>AIRFLOW!B26*(0.07355)/(0.2952998)</f>
        <v>0.9763501363698859</v>
      </c>
      <c r="C74" s="144">
        <f>AIRFLOW!C26</f>
        <v>1350</v>
      </c>
      <c r="D74" s="145">
        <f>AIRFLOW!D26</f>
        <v>11.9</v>
      </c>
      <c r="E74" s="149">
        <f>AIRFLOW!E26</f>
        <v>22080</v>
      </c>
      <c r="F74" s="80">
        <f>AIRFLOW!F26*(0.07355/0.2952998)</f>
        <v>1.0212975491459038</v>
      </c>
      <c r="G74" s="80">
        <f>AIRFLOW!G26*0.472*(0.001*3600)</f>
        <v>179.60244392325106</v>
      </c>
      <c r="H74" s="79">
        <f>AIRFLOW!H26</f>
        <v>1396.5883195845595</v>
      </c>
      <c r="I74" s="81">
        <f>AIRFLOW!I26</f>
        <v>50.86258224769226</v>
      </c>
      <c r="J74" s="82">
        <f>AIRFLOW!J26</f>
        <v>0.06818040515776443</v>
      </c>
      <c r="K74" s="80">
        <f>AIRFLOW!K26</f>
        <v>3.6419166288618436</v>
      </c>
      <c r="L74" s="5"/>
      <c r="M74" s="5"/>
      <c r="BD74" s="3" t="s">
        <v>38</v>
      </c>
      <c r="BE74" s="8">
        <f>COUNT(BE64:BK64)</f>
        <v>7</v>
      </c>
      <c r="BF74" t="s">
        <v>92</v>
      </c>
    </row>
    <row r="75" spans="1:57" ht="15.75">
      <c r="A75" s="78">
        <f>AIRFLOW!A27*25.4</f>
        <v>38.099999999999994</v>
      </c>
      <c r="B75" s="148">
        <f>AIRFLOW!B27*(0.07355)/(0.2952998)</f>
        <v>3.0884545130067815</v>
      </c>
      <c r="C75" s="144">
        <f>AIRFLOW!C27</f>
        <v>1352</v>
      </c>
      <c r="D75" s="145">
        <f>AIRFLOW!D27</f>
        <v>11.94</v>
      </c>
      <c r="E75" s="149">
        <f>AIRFLOW!E27</f>
        <v>21960</v>
      </c>
      <c r="F75" s="80">
        <f>AIRFLOW!F27*(0.07355/0.2952998)</f>
        <v>3.230635104441124</v>
      </c>
      <c r="G75" s="80">
        <f>AIRFLOW!G27*0.472*(0.001*3600)</f>
        <v>176.11089766788183</v>
      </c>
      <c r="H75" s="79">
        <f>AIRFLOW!H27</f>
        <v>1398.6573393172773</v>
      </c>
      <c r="I75" s="81">
        <f>AIRFLOW!I27</f>
        <v>157.76403744058294</v>
      </c>
      <c r="J75" s="82">
        <f>AIRFLOW!J27</f>
        <v>0.21147994294984307</v>
      </c>
      <c r="K75" s="80">
        <f>AIRFLOW!K27</f>
        <v>11.27967751683853</v>
      </c>
      <c r="L75" s="5"/>
      <c r="M75" s="5"/>
      <c r="BD75" s="3" t="s">
        <v>39</v>
      </c>
      <c r="BE75" s="8">
        <f>SUM(BB120:BH120)</f>
        <v>435.6334065064931</v>
      </c>
    </row>
    <row r="76" spans="1:58" ht="15.75">
      <c r="A76" s="78">
        <f>AIRFLOW!A28*25.4</f>
        <v>31.75</v>
      </c>
      <c r="B76" s="148">
        <f>AIRFLOW!B28*(0.07355)/(0.2952998)</f>
        <v>5.539292610425066</v>
      </c>
      <c r="C76" s="144">
        <f>AIRFLOW!C28</f>
        <v>1362</v>
      </c>
      <c r="D76" s="145">
        <f>AIRFLOW!D28</f>
        <v>12.01</v>
      </c>
      <c r="E76" s="149">
        <f>AIRFLOW!E28</f>
        <v>21960</v>
      </c>
      <c r="F76" s="80">
        <f>AIRFLOW!F28*(0.07355/0.2952998)</f>
        <v>5.794300380868597</v>
      </c>
      <c r="G76" s="80">
        <f>AIRFLOW!G28*0.472*(0.001*3600)</f>
        <v>163.79244259943462</v>
      </c>
      <c r="H76" s="79">
        <f>AIRFLOW!H28</f>
        <v>1409.0024379808667</v>
      </c>
      <c r="I76" s="81">
        <f>AIRFLOW!I28</f>
        <v>263.1653692451663</v>
      </c>
      <c r="J76" s="82">
        <f>AIRFLOW!J28</f>
        <v>0.3527685914814562</v>
      </c>
      <c r="K76" s="80">
        <f>AIRFLOW!K28</f>
        <v>18.677424690782534</v>
      </c>
      <c r="L76" s="5"/>
      <c r="M76" s="5"/>
      <c r="BD76" s="3" t="s">
        <v>40</v>
      </c>
      <c r="BE76" s="8">
        <f>SUM(BB121:BH121)</f>
        <v>1692.9006859762515</v>
      </c>
      <c r="BF76" t="s">
        <v>92</v>
      </c>
    </row>
    <row r="77" spans="1:58" ht="15.75">
      <c r="A77" s="78">
        <f>AIRFLOW!A29*25.4</f>
        <v>25.4</v>
      </c>
      <c r="B77" s="148">
        <f>AIRFLOW!B29*(0.07355)/(0.2952998)</f>
        <v>9.723650337724578</v>
      </c>
      <c r="C77" s="144">
        <f>AIRFLOW!C29</f>
        <v>1364</v>
      </c>
      <c r="D77" s="145">
        <f>AIRFLOW!D29</f>
        <v>12.04</v>
      </c>
      <c r="E77" s="149">
        <f>AIRFLOW!E29</f>
        <v>21960</v>
      </c>
      <c r="F77" s="80">
        <f>AIRFLOW!F29*(0.07355/0.2952998)</f>
        <v>10.171289877208185</v>
      </c>
      <c r="G77" s="80">
        <f>AIRFLOW!G29*0.472*(0.001*3600)</f>
        <v>137.95246077437315</v>
      </c>
      <c r="H77" s="79">
        <f>AIRFLOW!H29</f>
        <v>1411.0714577135846</v>
      </c>
      <c r="I77" s="81">
        <f>AIRFLOW!I29</f>
        <v>389.080402864147</v>
      </c>
      <c r="J77" s="82">
        <f>AIRFLOW!J29</f>
        <v>0.5215554998178914</v>
      </c>
      <c r="K77" s="80">
        <f>AIRFLOW!K29</f>
        <v>27.573401810181146</v>
      </c>
      <c r="L77" s="5"/>
      <c r="M77" s="5"/>
      <c r="BD77" s="3" t="s">
        <v>41</v>
      </c>
      <c r="BE77" s="8">
        <f aca="true" t="shared" si="10" ref="BE77:BE84">SUM(BE64:BK64)</f>
        <v>31117.76330311619</v>
      </c>
      <c r="BF77" t="s">
        <v>92</v>
      </c>
    </row>
    <row r="78" spans="1:57" ht="15.75">
      <c r="A78" s="78">
        <f>AIRFLOW!A30*25.4</f>
        <v>22.224999999999998</v>
      </c>
      <c r="B78" s="148">
        <f>AIRFLOW!B30*(0.07355)/(0.2952998)</f>
        <v>12.553073181898533</v>
      </c>
      <c r="C78" s="144">
        <f>AIRFLOW!C30</f>
        <v>1354</v>
      </c>
      <c r="D78" s="145">
        <f>AIRFLOW!D30</f>
        <v>11.92</v>
      </c>
      <c r="E78" s="149">
        <f>AIRFLOW!E30</f>
        <v>21960</v>
      </c>
      <c r="F78" s="80">
        <f>AIRFLOW!F30*(0.07355/0.2952998)</f>
        <v>13.130968489018763</v>
      </c>
      <c r="G78" s="80">
        <f>AIRFLOW!G30*0.472*(0.001*3600)</f>
        <v>119.88785394882022</v>
      </c>
      <c r="H78" s="79">
        <f>AIRFLOW!H30</f>
        <v>1400.7263590499952</v>
      </c>
      <c r="I78" s="81">
        <f>AIRFLOW!I30</f>
        <v>436.5216807978122</v>
      </c>
      <c r="J78" s="82">
        <f>AIRFLOW!J30</f>
        <v>0.5851497061632872</v>
      </c>
      <c r="K78" s="80">
        <f>AIRFLOW!K30</f>
        <v>31.16395132978516</v>
      </c>
      <c r="L78" s="5"/>
      <c r="M78" s="5"/>
      <c r="BD78" s="3" t="s">
        <v>42</v>
      </c>
      <c r="BE78" s="8">
        <f t="shared" si="10"/>
        <v>2427017.9122829284</v>
      </c>
    </row>
    <row r="79" spans="1:57" ht="15.75">
      <c r="A79" s="78">
        <f>AIRFLOW!A31*25.4</f>
        <v>19.049999999999997</v>
      </c>
      <c r="B79" s="148">
        <f>AIRFLOW!B31*(0.07355)/(0.2952998)</f>
        <v>15.442272565033909</v>
      </c>
      <c r="C79" s="144">
        <f>AIRFLOW!C31</f>
        <v>1320</v>
      </c>
      <c r="D79" s="145">
        <f>AIRFLOW!D31</f>
        <v>11.61</v>
      </c>
      <c r="E79" s="149">
        <f>AIRFLOW!E31</f>
        <v>22380</v>
      </c>
      <c r="F79" s="80">
        <f>AIRFLOW!F31*(0.07355/0.2952998)</f>
        <v>16.153175522205622</v>
      </c>
      <c r="G79" s="80">
        <f>AIRFLOW!G31*0.472*(0.001*3600)</f>
        <v>97.35392823267888</v>
      </c>
      <c r="H79" s="79">
        <f>AIRFLOW!H31</f>
        <v>1365.5530235937915</v>
      </c>
      <c r="I79" s="81">
        <f>AIRFLOW!I31</f>
        <v>436.05901117069993</v>
      </c>
      <c r="J79" s="82">
        <f>AIRFLOW!J31</f>
        <v>0.5845295055907506</v>
      </c>
      <c r="K79" s="80">
        <f>AIRFLOW!K31</f>
        <v>31.93277768322042</v>
      </c>
      <c r="L79" s="5"/>
      <c r="M79" s="5"/>
      <c r="BD79" s="3" t="s">
        <v>43</v>
      </c>
      <c r="BE79" s="8">
        <f t="shared" si="10"/>
        <v>199913450.0377216</v>
      </c>
    </row>
    <row r="80" spans="1:57" ht="15.75">
      <c r="A80" s="78">
        <f>AIRFLOW!A32*25.4</f>
        <v>15.875</v>
      </c>
      <c r="B80" s="148">
        <f>AIRFLOW!B32*(0.07355)/(0.2952998)</f>
        <v>17.913036175439334</v>
      </c>
      <c r="C80" s="144">
        <f>AIRFLOW!C32</f>
        <v>1264</v>
      </c>
      <c r="D80" s="145">
        <f>AIRFLOW!D32</f>
        <v>11.06</v>
      </c>
      <c r="E80" s="149">
        <f>AIRFLOW!E32</f>
        <v>22980</v>
      </c>
      <c r="F80" s="80">
        <f>AIRFLOW!F32*(0.07355/0.2952998)</f>
        <v>18.737683605758523</v>
      </c>
      <c r="G80" s="80">
        <f>AIRFLOW!G32*0.472*(0.001*3600)</f>
        <v>72.58871980030797</v>
      </c>
      <c r="H80" s="79">
        <f>AIRFLOW!H32</f>
        <v>1307.6204710776913</v>
      </c>
      <c r="I80" s="81">
        <f>AIRFLOW!I32</f>
        <v>377.15416835606857</v>
      </c>
      <c r="J80" s="82">
        <f>AIRFLOW!J32</f>
        <v>0.5055685902896362</v>
      </c>
      <c r="K80" s="80">
        <f>AIRFLOW!K32</f>
        <v>28.84278555575322</v>
      </c>
      <c r="L80" s="5"/>
      <c r="M80" s="5"/>
      <c r="BD80" s="3" t="s">
        <v>44</v>
      </c>
      <c r="BE80" s="8">
        <f t="shared" si="10"/>
        <v>17052428929.492014</v>
      </c>
    </row>
    <row r="81" spans="1:57" ht="15.75">
      <c r="A81" s="78">
        <f>AIRFLOW!A33*25.4</f>
        <v>12.7</v>
      </c>
      <c r="B81" s="148">
        <f>AIRFLOW!B33*(0.07355)/(0.2952998)</f>
        <v>20.284172220909056</v>
      </c>
      <c r="C81" s="144">
        <f>AIRFLOW!C33</f>
        <v>1184</v>
      </c>
      <c r="D81" s="145">
        <f>AIRFLOW!D33</f>
        <v>10.31</v>
      </c>
      <c r="E81" s="149">
        <f>AIRFLOW!E33</f>
        <v>23880</v>
      </c>
      <c r="F81" s="80">
        <f>AIRFLOW!F33*(0.07355/0.2952998)</f>
        <v>21.217977653684287</v>
      </c>
      <c r="G81" s="80">
        <f>AIRFLOW!G33*0.472*(0.001*3600)</f>
        <v>49.27703033082735</v>
      </c>
      <c r="H81" s="79">
        <f>AIRFLOW!H33</f>
        <v>1224.8596817689765</v>
      </c>
      <c r="I81" s="81">
        <f>AIRFLOW!I33</f>
        <v>289.9228120726318</v>
      </c>
      <c r="J81" s="82">
        <f>AIRFLOW!J33</f>
        <v>0.3886364773091579</v>
      </c>
      <c r="K81" s="80">
        <f>AIRFLOW!K33</f>
        <v>23.669879610529527</v>
      </c>
      <c r="L81" s="5"/>
      <c r="M81" s="5"/>
      <c r="BD81" s="3" t="s">
        <v>45</v>
      </c>
      <c r="BE81" s="8">
        <f t="shared" si="10"/>
        <v>1489119834494.17</v>
      </c>
    </row>
    <row r="82" spans="1:57" ht="15.75">
      <c r="A82" s="78">
        <f>AIRFLOW!A34*25.4</f>
        <v>9.524999999999999</v>
      </c>
      <c r="B82" s="148">
        <f>AIRFLOW!B34*(0.07355)/(0.2952998)</f>
        <v>22.794786857288763</v>
      </c>
      <c r="C82" s="144">
        <f>AIRFLOW!C34</f>
        <v>1098</v>
      </c>
      <c r="D82" s="145">
        <f>AIRFLOW!D34</f>
        <v>9.5</v>
      </c>
      <c r="E82" s="149">
        <f>AIRFLOW!E34</f>
        <v>24960</v>
      </c>
      <c r="F82" s="80">
        <f>AIRFLOW!F34*(0.07355/0.2952998)</f>
        <v>23.84417135148804</v>
      </c>
      <c r="G82" s="80">
        <f>AIRFLOW!G34*0.472*(0.001*3600)</f>
        <v>29.422156348488425</v>
      </c>
      <c r="H82" s="79">
        <f>AIRFLOW!H34</f>
        <v>1135.8918332621083</v>
      </c>
      <c r="I82" s="81">
        <f>AIRFLOW!I34</f>
        <v>194.53180054935723</v>
      </c>
      <c r="J82" s="82">
        <f>AIRFLOW!J34</f>
        <v>0.26076648867206065</v>
      </c>
      <c r="K82" s="80">
        <f>AIRFLOW!K34</f>
        <v>17.12590889844604</v>
      </c>
      <c r="L82" s="5"/>
      <c r="M82" s="5"/>
      <c r="BD82" s="3" t="s">
        <v>46</v>
      </c>
      <c r="BE82" s="8">
        <f t="shared" si="10"/>
        <v>101489.05797606448</v>
      </c>
    </row>
    <row r="83" spans="1:58" ht="15.75">
      <c r="A83" s="78">
        <f>AIRFLOW!A35*25.4</f>
        <v>6.35</v>
      </c>
      <c r="B83" s="148">
        <f>AIRFLOW!B35*(0.07355)/(0.2952998)</f>
        <v>24.408753409247147</v>
      </c>
      <c r="C83" s="144">
        <f>AIRFLOW!C35</f>
        <v>1032</v>
      </c>
      <c r="D83" s="145">
        <f>AIRFLOW!D35</f>
        <v>8.89</v>
      </c>
      <c r="E83" s="149">
        <f>AIRFLOW!E35</f>
        <v>26040</v>
      </c>
      <c r="F83" s="80">
        <f>AIRFLOW!F35*(0.07355/0.2952998)</f>
        <v>25.532438728647595</v>
      </c>
      <c r="G83" s="80">
        <f>AIRFLOW!G35*0.472*(0.001*3600)</f>
        <v>14.022381460525711</v>
      </c>
      <c r="H83" s="79">
        <f>AIRFLOW!H35</f>
        <v>1067.614182082419</v>
      </c>
      <c r="I83" s="81">
        <f>AIRFLOW!I35</f>
        <v>99.27684094450294</v>
      </c>
      <c r="J83" s="82">
        <f>AIRFLOW!J35</f>
        <v>0.13307887526072779</v>
      </c>
      <c r="K83" s="80">
        <f>AIRFLOW!K35</f>
        <v>9.298943626887757</v>
      </c>
      <c r="L83" s="5"/>
      <c r="M83" s="5"/>
      <c r="BD83" s="3" t="s">
        <v>47</v>
      </c>
      <c r="BE83" s="8">
        <f t="shared" si="10"/>
        <v>6859005.10925296</v>
      </c>
      <c r="BF83" t="s">
        <v>92</v>
      </c>
    </row>
    <row r="84" spans="1:57" ht="15.75">
      <c r="A84" s="78">
        <f>AIRFLOW!A36*25.4</f>
        <v>0</v>
      </c>
      <c r="B84" s="148">
        <f>AIRFLOW!B36*(0.07355)/(0.2952998)</f>
        <v>26.620485350819745</v>
      </c>
      <c r="C84" s="144">
        <f>AIRFLOW!C36</f>
        <v>974</v>
      </c>
      <c r="D84" s="145">
        <f>AIRFLOW!D36</f>
        <v>8.36</v>
      </c>
      <c r="E84" s="149">
        <f>AIRFLOW!E36</f>
        <v>26880</v>
      </c>
      <c r="F84" s="80">
        <f>AIRFLOW!F36*(0.07355/0.2952998)</f>
        <v>27.845990319569946</v>
      </c>
      <c r="G84" s="80">
        <f>AIRFLOW!G36*0.472*(0.001*3600)</f>
        <v>0</v>
      </c>
      <c r="H84" s="79">
        <f>AIRFLOW!H36</f>
        <v>1007.6126098336007</v>
      </c>
      <c r="I84" s="81">
        <f>AIRFLOW!I36</f>
        <v>0</v>
      </c>
      <c r="J84" s="82">
        <f>AIRFLOW!J36</f>
        <v>0</v>
      </c>
      <c r="K84" s="80">
        <f>AIRFLOW!K36</f>
        <v>0</v>
      </c>
      <c r="L84" s="5"/>
      <c r="M84" s="5"/>
      <c r="BD84" s="3" t="s">
        <v>48</v>
      </c>
      <c r="BE84" s="8">
        <f t="shared" si="10"/>
        <v>504056906.25367194</v>
      </c>
    </row>
    <row r="85" spans="1:13" ht="23.25">
      <c r="A85" s="5"/>
      <c r="B85" s="130"/>
      <c r="C85" s="147"/>
      <c r="D85" s="132"/>
      <c r="E85" s="133"/>
      <c r="F85" s="131" t="s">
        <v>99</v>
      </c>
      <c r="G85" s="134">
        <f>G37</f>
        <v>440.81</v>
      </c>
      <c r="H85" s="135"/>
      <c r="I85" s="136"/>
      <c r="J85" s="137"/>
      <c r="K85" s="5"/>
      <c r="L85" s="5"/>
      <c r="M85" s="5"/>
    </row>
    <row r="86" spans="1:60" ht="16.5" thickBo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BD86" s="3" t="s">
        <v>49</v>
      </c>
      <c r="BE86" s="8">
        <f>(BE75*BE76/BE74)-BE82</f>
        <v>3865.812410937433</v>
      </c>
      <c r="BG86" s="3" t="s">
        <v>50</v>
      </c>
      <c r="BH86" s="5">
        <f>(BE86*BE91/BE87)-BE90</f>
        <v>-193413.66383955593</v>
      </c>
    </row>
    <row r="87" spans="1:60" ht="15.75">
      <c r="A87" s="165" t="str">
        <f>"Standard performance data is typical for a motor from a large production quantity.  An individual motor's performance will vary due to normal manufacturing variations.  Test standards @ "&amp;TEXT(B7,"0")&amp;" volts, corrected to standard atmospheric conditions:  Minimum sealed vacuum = "&amp;TEXT(C99,"0.00")&amp;" "&amp;D99&amp;", "&amp;TEXT(C100,"0")&amp;" "&amp;D100&amp;" or "&amp;TEXT(C101,"0.00")&amp;" "&amp;D101&amp;", Maximum open watts = "&amp;TEXT(C102,"0")&amp;" watts."</f>
        <v>Standard performance data is typical for a motor from a large production quantity.  An individual motor's performance will vary due to normal manufacturing variations.  Test standards @ 120 volts, corrected to standard atmospheric conditions:  Minimum sealed vacuum = 100.62 in H2O, 2556 mm H2O or 25.06 kPa, Maximum open watts = 1578 watts.</v>
      </c>
      <c r="B87" s="166"/>
      <c r="C87" s="166"/>
      <c r="D87" s="166"/>
      <c r="E87" s="166"/>
      <c r="F87" s="166"/>
      <c r="G87" s="166"/>
      <c r="H87" s="166"/>
      <c r="I87" s="166"/>
      <c r="J87" s="166"/>
      <c r="K87" s="167"/>
      <c r="L87" s="5"/>
      <c r="M87" s="5"/>
      <c r="BD87" s="3" t="s">
        <v>51</v>
      </c>
      <c r="BE87" s="8">
        <f>(BE75*BE75/BE74)-BE77</f>
        <v>-4006.839751051695</v>
      </c>
      <c r="BG87" s="3" t="s">
        <v>52</v>
      </c>
      <c r="BH87" s="5">
        <f>(BE88*BE91/BE87)-BE92</f>
        <v>1548725.2594476938</v>
      </c>
    </row>
    <row r="88" spans="1:60" ht="15.75">
      <c r="A88" s="168"/>
      <c r="B88" s="169"/>
      <c r="C88" s="169"/>
      <c r="D88" s="169"/>
      <c r="E88" s="169"/>
      <c r="F88" s="169"/>
      <c r="G88" s="169"/>
      <c r="H88" s="169"/>
      <c r="I88" s="169"/>
      <c r="J88" s="169"/>
      <c r="K88" s="170"/>
      <c r="L88" s="5"/>
      <c r="M88" s="5"/>
      <c r="BD88" s="3" t="s">
        <v>53</v>
      </c>
      <c r="BE88" s="8">
        <f>(BE75*BE77/BE74)-BE78</f>
        <v>-490455.4507687499</v>
      </c>
      <c r="BG88" s="3" t="s">
        <v>54</v>
      </c>
      <c r="BH88" s="5">
        <f>(BE89*BE91/BE87)-BE93</f>
        <v>281219426.87905407</v>
      </c>
    </row>
    <row r="89" spans="1:60" ht="16.5" thickBot="1">
      <c r="A89" s="171"/>
      <c r="B89" s="172"/>
      <c r="C89" s="172"/>
      <c r="D89" s="172"/>
      <c r="E89" s="172"/>
      <c r="F89" s="172"/>
      <c r="G89" s="172"/>
      <c r="H89" s="172"/>
      <c r="I89" s="172"/>
      <c r="J89" s="172"/>
      <c r="K89" s="173"/>
      <c r="L89" s="5"/>
      <c r="M89" s="5"/>
      <c r="BD89" s="3" t="s">
        <v>55</v>
      </c>
      <c r="BE89" s="8">
        <f>(BE75*BE78/BE74)-BE79</f>
        <v>-48872009.92628029</v>
      </c>
      <c r="BG89" s="3" t="s">
        <v>56</v>
      </c>
      <c r="BH89" s="5">
        <f>(BE86*BE95/BE87)-BE94</f>
        <v>-35748398.97736872</v>
      </c>
    </row>
    <row r="90" spans="56:60" ht="15.75" hidden="1">
      <c r="BD90" s="3" t="s">
        <v>57</v>
      </c>
      <c r="BE90" s="8">
        <f>(BE76*BE77/BE74)-BE83</f>
        <v>666606.7253030427</v>
      </c>
      <c r="BF90" t="s">
        <v>92</v>
      </c>
      <c r="BG90" s="3" t="s">
        <v>58</v>
      </c>
      <c r="BH90" s="5">
        <f>(BE88*BE95/BE87)-BE96</f>
        <v>281219426.87905407</v>
      </c>
    </row>
    <row r="91" spans="56:60" ht="15.75" hidden="1">
      <c r="BD91" s="3" t="s">
        <v>59</v>
      </c>
      <c r="BE91" s="8">
        <f>(BE75*BE77/BE74)-BE78</f>
        <v>-490455.4507687499</v>
      </c>
      <c r="BG91" s="3" t="s">
        <v>60</v>
      </c>
      <c r="BH91" s="5">
        <f>(BE89*BE95/BE87)-BE97</f>
        <v>51532795842.08325</v>
      </c>
    </row>
    <row r="92" spans="56:57" ht="15.75" hidden="1">
      <c r="BD92" s="3" t="s">
        <v>61</v>
      </c>
      <c r="BE92" s="8">
        <f>(BE77*BE77/BE74)-BE79</f>
        <v>-61582708.1821838</v>
      </c>
    </row>
    <row r="93" spans="56:57" ht="15.75" hidden="1">
      <c r="BD93" s="3" t="s">
        <v>62</v>
      </c>
      <c r="BE93" s="8">
        <f>(BE77*BE78/BE74)-BE80</f>
        <v>-6263376225.657248</v>
      </c>
    </row>
    <row r="94" spans="56:57" ht="15.75" hidden="1">
      <c r="BD94" s="3" t="s">
        <v>63</v>
      </c>
      <c r="BE94" s="8">
        <f>(BE76*BE78/BE74)-BE84</f>
        <v>82900277.82924503</v>
      </c>
    </row>
    <row r="95" spans="56:57" ht="15.75" hidden="1">
      <c r="BD95" s="3" t="s">
        <v>64</v>
      </c>
      <c r="BE95" s="8">
        <f>(BE75*BE78/BE74)-BE79</f>
        <v>-48872009.92628029</v>
      </c>
    </row>
    <row r="96" spans="1:57" ht="15.75" hidden="1">
      <c r="A96" s="174" t="s">
        <v>105</v>
      </c>
      <c r="B96" s="174"/>
      <c r="C96" s="174"/>
      <c r="D96">
        <v>0.9</v>
      </c>
      <c r="BD96" s="3" t="s">
        <v>65</v>
      </c>
      <c r="BE96" s="8">
        <f>(BE77*BE78/BE74)-BE80</f>
        <v>-6263376225.657248</v>
      </c>
    </row>
    <row r="97" spans="1:57" ht="15.75" hidden="1">
      <c r="A97" s="160" t="s">
        <v>106</v>
      </c>
      <c r="B97" s="160"/>
      <c r="C97" s="160"/>
      <c r="D97">
        <v>1.13</v>
      </c>
      <c r="BD97" s="3" t="s">
        <v>66</v>
      </c>
      <c r="BE97" s="8">
        <f>(BE78*BE78/BE74)-BE81</f>
        <v>-647631842131.0007</v>
      </c>
    </row>
    <row r="98" ht="15.75" hidden="1"/>
    <row r="99" spans="1:57" ht="17.25" hidden="1">
      <c r="A99" s="160" t="s">
        <v>107</v>
      </c>
      <c r="B99" s="160"/>
      <c r="C99">
        <f>F36*D96</f>
        <v>100.62031046844115</v>
      </c>
      <c r="D99" s="90" t="s">
        <v>108</v>
      </c>
      <c r="BD99" s="3" t="s">
        <v>67</v>
      </c>
      <c r="BE99" s="5">
        <f>((BH86*BH90/BH87)-BH89)/((BH88*BH90/BH87)-BH91)</f>
        <v>-0.0013403144217504427</v>
      </c>
    </row>
    <row r="100" spans="3:57" ht="17.25" hidden="1">
      <c r="C100">
        <f>F68*D96</f>
        <v>2555.755885898405</v>
      </c>
      <c r="D100" s="91" t="s">
        <v>109</v>
      </c>
      <c r="BD100" s="3" t="s">
        <v>68</v>
      </c>
      <c r="BE100" s="5">
        <f>(BH86-BH88*BE99)/BH87</f>
        <v>0.11849021546163535</v>
      </c>
    </row>
    <row r="101" spans="3:57" ht="15.75" hidden="1">
      <c r="C101">
        <f>F84*D96</f>
        <v>25.061391287612953</v>
      </c>
      <c r="D101" s="91" t="s">
        <v>112</v>
      </c>
      <c r="BD101" s="3" t="s">
        <v>69</v>
      </c>
      <c r="BE101" s="5">
        <f>(BE86-BE88*BE100-BE89*BE99)/BE87</f>
        <v>0.8794649889203158</v>
      </c>
    </row>
    <row r="102" spans="1:57" ht="15.75" hidden="1">
      <c r="A102" s="160" t="s">
        <v>110</v>
      </c>
      <c r="B102" s="160"/>
      <c r="C102">
        <f>H74*D97</f>
        <v>1578.144801130552</v>
      </c>
      <c r="D102" t="s">
        <v>111</v>
      </c>
      <c r="BD102" s="3" t="s">
        <v>70</v>
      </c>
      <c r="BE102" s="5">
        <f>(BE76-BE75*BE101-BE77*BE100-BE78*BE99)/BE74</f>
        <v>125.08471259410746</v>
      </c>
    </row>
    <row r="103" ht="15.75" hidden="1">
      <c r="A103" s="34"/>
    </row>
    <row r="104" spans="1:58" ht="15.75" hidden="1">
      <c r="A104" s="34"/>
      <c r="BD104" s="1" t="s">
        <v>71</v>
      </c>
      <c r="BE104" s="8">
        <f>(1/(6*$BE$99))*(-2*$BE$100-SQRT((4*$BE$100^2-12*$BE$101*$BE$99)))</f>
        <v>62.43945716192635</v>
      </c>
      <c r="BF104" s="8">
        <f>(1/(6*$BE$99))*(-2*$BE$100+SQRT((4*$BE$100^2-12*$BE$101*$BE$99)))</f>
        <v>-3.5029302600830174</v>
      </c>
    </row>
    <row r="105" spans="1:58" ht="15.75" hidden="1">
      <c r="A105" s="34"/>
      <c r="BD105" s="1" t="s">
        <v>72</v>
      </c>
      <c r="BE105" s="8">
        <f>$BE$102+$BE$101*BE104+$BE$100*BE104^2+$BE$99*BE104^3</f>
        <v>315.67896416958484</v>
      </c>
      <c r="BF105" s="8">
        <f>$BE$102+$BE$101*BF104+$BE$100*BF104^2+$BE$99*BF104^3</f>
        <v>123.5155551148099</v>
      </c>
    </row>
    <row r="106" ht="15.75" hidden="1">
      <c r="A106" s="34"/>
    </row>
    <row r="107" spans="1:63" ht="15.75" hidden="1">
      <c r="A107" s="34"/>
      <c r="BD107" s="1" t="s">
        <v>73</v>
      </c>
      <c r="BE107" s="8">
        <f aca="true" t="shared" si="11" ref="BE107:BK107">$BE$102+$BE$101*BB120+$BE$100*BB120^2+$BE$99*BB120^3</f>
        <v>124.4855960751986</v>
      </c>
      <c r="BF107" s="8">
        <f t="shared" si="11"/>
        <v>200.03459568963956</v>
      </c>
      <c r="BG107" s="8">
        <f t="shared" si="11"/>
        <v>295.1432797706882</v>
      </c>
      <c r="BH107" s="8">
        <f t="shared" si="11"/>
        <v>315.5662026990894</v>
      </c>
      <c r="BI107" s="8">
        <f t="shared" si="11"/>
        <v>299.06708653286177</v>
      </c>
      <c r="BJ107" s="8">
        <f t="shared" si="11"/>
        <v>255.18952794911914</v>
      </c>
      <c r="BK107" s="8">
        <f t="shared" si="11"/>
        <v>203.41439725965506</v>
      </c>
    </row>
    <row r="108" spans="1:63" ht="15.75" hidden="1">
      <c r="A108" s="34"/>
      <c r="H108" s="2">
        <v>26</v>
      </c>
      <c r="I108" s="2"/>
      <c r="J108" s="2"/>
      <c r="BD108" s="1" t="s">
        <v>74</v>
      </c>
      <c r="BE108" s="5">
        <f aca="true" t="shared" si="12" ref="BE108:BK108">(BB121-BE107)^2</f>
        <v>5.4688201898501125</v>
      </c>
      <c r="BF108" s="5">
        <f t="shared" si="12"/>
        <v>13.203295755550299</v>
      </c>
      <c r="BG108" s="5">
        <f t="shared" si="12"/>
        <v>0.07779968402387935</v>
      </c>
      <c r="BH108" s="5">
        <f t="shared" si="12"/>
        <v>1.1297386146538417</v>
      </c>
      <c r="BI108" s="5">
        <f t="shared" si="12"/>
        <v>5.891849344519773</v>
      </c>
      <c r="BJ108" s="5">
        <f t="shared" si="12"/>
        <v>15.626921887097156</v>
      </c>
      <c r="BK108" s="5">
        <f t="shared" si="12"/>
        <v>2.1875666720911364</v>
      </c>
    </row>
    <row r="109" spans="1:63" ht="15.75" hidden="1">
      <c r="A109" s="34"/>
      <c r="H109" s="2">
        <f>H110+1</f>
        <v>27</v>
      </c>
      <c r="I109" s="2"/>
      <c r="J109" s="2"/>
      <c r="BD109" s="1" t="s">
        <v>75</v>
      </c>
      <c r="BE109" s="5">
        <f aca="true" t="shared" si="13" ref="BE109:BK109">(BB121-AVERAGE($BB$121:$BH$121))^2</f>
        <v>14327.110855927142</v>
      </c>
      <c r="BF109" s="5">
        <f t="shared" si="13"/>
        <v>1457.3096662204953</v>
      </c>
      <c r="BG109" s="5">
        <f t="shared" si="13"/>
        <v>2811.268718409722</v>
      </c>
      <c r="BH109" s="5">
        <f t="shared" si="13"/>
        <v>5279.527323988642</v>
      </c>
      <c r="BI109" s="5">
        <f t="shared" si="13"/>
        <v>3002.6912847156404</v>
      </c>
      <c r="BJ109" s="5">
        <f t="shared" si="13"/>
        <v>299.27833918751827</v>
      </c>
      <c r="BK109" s="5">
        <f t="shared" si="13"/>
        <v>1592.6165668680605</v>
      </c>
    </row>
    <row r="110" spans="1:10" ht="15.75" hidden="1">
      <c r="A110" s="34"/>
      <c r="H110" s="2">
        <v>26</v>
      </c>
      <c r="I110" s="2"/>
      <c r="J110" s="2"/>
    </row>
    <row r="111" spans="1:57" ht="15.75" hidden="1">
      <c r="A111" s="34"/>
      <c r="H111" s="38" t="str">
        <f>FIXED(H110,0,TRUE)</f>
        <v>26</v>
      </c>
      <c r="I111" s="2"/>
      <c r="J111" s="2"/>
      <c r="BD111" s="1" t="s">
        <v>76</v>
      </c>
      <c r="BE111" s="5">
        <f>1-(SUM(BE108:BK108))/(SUM(BE109:BK109))</f>
        <v>0.9984850090034166</v>
      </c>
    </row>
    <row r="112" spans="1:57" ht="15.75" hidden="1">
      <c r="A112" s="34"/>
      <c r="H112" s="2" t="str">
        <f>"aa"&amp;$H$111</f>
        <v>aa26</v>
      </c>
      <c r="I112" s="2" t="str">
        <f>"ab"&amp;$H$111</f>
        <v>ab26</v>
      </c>
      <c r="J112" s="2" t="str">
        <f>"ac"&amp;$H$111</f>
        <v>ac26</v>
      </c>
      <c r="BD112" s="1" t="s">
        <v>77</v>
      </c>
      <c r="BE112" s="5">
        <f>SQRT(MAX(BE108:BK108))</f>
        <v>3.95309016936082</v>
      </c>
    </row>
    <row r="113" ht="15.75" hidden="1">
      <c r="A113" s="34"/>
    </row>
    <row r="114" spans="1:81" ht="15.75" hidden="1">
      <c r="A114" s="34"/>
      <c r="BE114" s="11">
        <f>BB120</f>
        <v>95.33656723085866</v>
      </c>
      <c r="BF114" s="11">
        <f>(BE114+BG114)/2</f>
        <v>93.67602893273002</v>
      </c>
      <c r="BG114" s="11">
        <f>(BE114+BI114)/2</f>
        <v>92.01549063460139</v>
      </c>
      <c r="BH114" s="11">
        <f>(BG114+BI114)/2</f>
        <v>90.35495233647276</v>
      </c>
      <c r="BI114" s="11">
        <f>BC120</f>
        <v>88.69441403834412</v>
      </c>
      <c r="BJ114" s="11">
        <f>(BI114+BK114)/2</f>
        <v>85.07210181198617</v>
      </c>
      <c r="BK114" s="11">
        <f>(BI114+BM114)/2</f>
        <v>81.44978958562822</v>
      </c>
      <c r="BL114" s="11">
        <f>(BK114+BM114)/2</f>
        <v>77.82747735927026</v>
      </c>
      <c r="BM114" s="11">
        <f>BD120</f>
        <v>74.20516513291231</v>
      </c>
      <c r="BN114" s="11">
        <f>(BM114+BO114)/2</f>
        <v>71.49323833169838</v>
      </c>
      <c r="BO114" s="11">
        <f>(BM114+BQ114)/2</f>
        <v>68.78131153048444</v>
      </c>
      <c r="BP114" s="11">
        <f>(BO114+BQ114)/2</f>
        <v>66.06938472927051</v>
      </c>
      <c r="BQ114" s="11">
        <f>BE120</f>
        <v>63.35745792805657</v>
      </c>
      <c r="BR114" s="11">
        <f>(BQ114+BS114)/2</f>
        <v>60.14363649358289</v>
      </c>
      <c r="BS114" s="11">
        <f>(BQ114+BU114)/2</f>
        <v>56.9298150591092</v>
      </c>
      <c r="BT114" s="11">
        <f>(BS114+BU114)/2</f>
        <v>53.715993624635516</v>
      </c>
      <c r="BU114" s="11">
        <f>BF120</f>
        <v>50.50217219016183</v>
      </c>
      <c r="BV114" s="11">
        <f>(BU114+BW114)/2</f>
        <v>47.32345654176805</v>
      </c>
      <c r="BW114" s="11">
        <f>(BU114+BY114)/2</f>
        <v>44.144740893374276</v>
      </c>
      <c r="BX114" s="11">
        <f>(BW114+BY114)/2</f>
        <v>40.9660252449805</v>
      </c>
      <c r="BY114" s="5">
        <f>BG120</f>
        <v>37.78730959658672</v>
      </c>
      <c r="BZ114" s="11">
        <f>(BY114+CA114)/2</f>
        <v>34.77806229483324</v>
      </c>
      <c r="CA114" s="11">
        <f>(BY114+CC114)/2</f>
        <v>31.768814993079765</v>
      </c>
      <c r="CB114" s="11">
        <f>(CA114+CC114)/2</f>
        <v>28.75956769132629</v>
      </c>
      <c r="CC114" s="5">
        <f>BH120</f>
        <v>25.750320389572817</v>
      </c>
    </row>
    <row r="115" spans="1:81" ht="15.75" hidden="1">
      <c r="A115" s="34"/>
      <c r="BE115" s="8">
        <f aca="true" t="shared" si="14" ref="BE115:CC115">$BE$102+$BE$101*BE114+$BE$100*BE114^2+$BE$99*BE114^3</f>
        <v>124.4855960751986</v>
      </c>
      <c r="BF115" s="8">
        <f t="shared" si="14"/>
        <v>145.47169618842395</v>
      </c>
      <c r="BG115" s="8">
        <f t="shared" si="14"/>
        <v>165.0340149836304</v>
      </c>
      <c r="BH115" s="8">
        <f t="shared" si="14"/>
        <v>183.20937422823079</v>
      </c>
      <c r="BI115" s="8">
        <f t="shared" si="14"/>
        <v>200.03459568963956</v>
      </c>
      <c r="BJ115" s="8">
        <f t="shared" si="14"/>
        <v>232.23041742261478</v>
      </c>
      <c r="BK115" s="8">
        <f t="shared" si="14"/>
        <v>258.5589907358409</v>
      </c>
      <c r="BL115" s="8">
        <f t="shared" si="14"/>
        <v>279.4025375462288</v>
      </c>
      <c r="BM115" s="8">
        <f t="shared" si="14"/>
        <v>295.1432797706882</v>
      </c>
      <c r="BN115" s="8">
        <f t="shared" si="14"/>
        <v>303.8169300517365</v>
      </c>
      <c r="BO115" s="8">
        <f t="shared" si="14"/>
        <v>310.00503705283194</v>
      </c>
      <c r="BP115" s="8">
        <f t="shared" si="14"/>
        <v>313.8679961449557</v>
      </c>
      <c r="BQ115" s="8">
        <f t="shared" si="14"/>
        <v>315.5662026990894</v>
      </c>
      <c r="BR115" s="8">
        <f t="shared" si="14"/>
        <v>314.9964061402125</v>
      </c>
      <c r="BS115" s="8">
        <f t="shared" si="14"/>
        <v>311.87865736110376</v>
      </c>
      <c r="BT115" s="8">
        <f t="shared" si="14"/>
        <v>306.479902209431</v>
      </c>
      <c r="BU115" s="8">
        <f t="shared" si="14"/>
        <v>299.06708653286177</v>
      </c>
      <c r="BV115" s="8">
        <f t="shared" si="14"/>
        <v>290.01569540847606</v>
      </c>
      <c r="BW115" s="8">
        <f t="shared" si="14"/>
        <v>279.51344313326433</v>
      </c>
      <c r="BX115" s="8">
        <f t="shared" si="14"/>
        <v>267.8186229119157</v>
      </c>
      <c r="BY115" s="8">
        <f t="shared" si="14"/>
        <v>255.18952794911914</v>
      </c>
      <c r="BZ115" s="8">
        <f t="shared" si="14"/>
        <v>242.60662034878536</v>
      </c>
      <c r="CA115" s="8">
        <f t="shared" si="14"/>
        <v>229.63703269568754</v>
      </c>
      <c r="CB115" s="8">
        <f t="shared" si="14"/>
        <v>216.49990999693946</v>
      </c>
      <c r="CC115" s="8">
        <f t="shared" si="14"/>
        <v>203.41439725965506</v>
      </c>
    </row>
    <row r="116" spans="1:81" ht="15.75" hidden="1">
      <c r="A116" s="1"/>
      <c r="BE116" s="11">
        <f>BB121</f>
        <v>122.14704520129183</v>
      </c>
      <c r="BI116" s="11">
        <f>BC121</f>
        <v>203.66822964967878</v>
      </c>
      <c r="BM116" s="11">
        <f>BD121</f>
        <v>294.8643538234838</v>
      </c>
      <c r="BQ116" s="11">
        <f>BE121</f>
        <v>314.5033110702514</v>
      </c>
      <c r="BU116" s="11">
        <f>BF121</f>
        <v>296.6397733382946</v>
      </c>
      <c r="BY116" s="5">
        <f>BG121</f>
        <v>259.14261811847996</v>
      </c>
      <c r="CC116" s="5">
        <f>BH121</f>
        <v>201.9353547747713</v>
      </c>
    </row>
    <row r="117" ht="15.75" hidden="1">
      <c r="A117" s="34"/>
    </row>
    <row r="118" ht="15.75" hidden="1">
      <c r="A118" s="34"/>
    </row>
    <row r="119" spans="1:61" ht="17.25" hidden="1">
      <c r="A119" s="34"/>
      <c r="BA119" s="20" t="s">
        <v>26</v>
      </c>
      <c r="BB119" s="21" t="s">
        <v>79</v>
      </c>
      <c r="BC119" s="21" t="s">
        <v>80</v>
      </c>
      <c r="BD119" s="21" t="s">
        <v>81</v>
      </c>
      <c r="BE119" s="22" t="s">
        <v>27</v>
      </c>
      <c r="BF119" s="21" t="s">
        <v>82</v>
      </c>
      <c r="BG119" s="21" t="s">
        <v>83</v>
      </c>
      <c r="BH119" s="24" t="s">
        <v>84</v>
      </c>
      <c r="BI119" s="14"/>
    </row>
    <row r="120" spans="1:61" ht="19.5" hidden="1">
      <c r="A120" s="34"/>
      <c r="BA120" s="20" t="s">
        <v>28</v>
      </c>
      <c r="BB120" s="66">
        <v>95.33656723085866</v>
      </c>
      <c r="BC120" s="66">
        <v>88.69441403834412</v>
      </c>
      <c r="BD120" s="66">
        <v>74.20516513291231</v>
      </c>
      <c r="BE120" s="66">
        <v>63.35745792805657</v>
      </c>
      <c r="BF120" s="66">
        <v>50.50217219016183</v>
      </c>
      <c r="BG120" s="66">
        <v>37.78730959658672</v>
      </c>
      <c r="BH120" s="66">
        <v>25.750320389572817</v>
      </c>
      <c r="BI120" s="14"/>
    </row>
    <row r="121" spans="1:61" ht="19.5" hidden="1">
      <c r="A121" s="34"/>
      <c r="BA121" s="20" t="s">
        <v>29</v>
      </c>
      <c r="BB121" s="60">
        <v>122.14704520129183</v>
      </c>
      <c r="BC121" s="60">
        <v>203.66822964967878</v>
      </c>
      <c r="BD121" s="60">
        <v>294.8643538234838</v>
      </c>
      <c r="BE121" s="60">
        <v>314.5033110702514</v>
      </c>
      <c r="BF121" s="60">
        <v>296.6397733382946</v>
      </c>
      <c r="BG121" s="60">
        <v>259.14261811847996</v>
      </c>
      <c r="BH121" s="60">
        <v>201.9353547747713</v>
      </c>
      <c r="BI121" s="14"/>
    </row>
    <row r="122" spans="1:61" ht="15.75" hidden="1">
      <c r="A122" s="34"/>
      <c r="BA122" s="14"/>
      <c r="BI122" s="14"/>
    </row>
    <row r="123" spans="1:64" ht="15.75" hidden="1">
      <c r="A123" s="34"/>
      <c r="BB123" s="45"/>
      <c r="BC123" s="45"/>
      <c r="BD123" s="45"/>
      <c r="BE123" s="45"/>
      <c r="BF123" s="51"/>
      <c r="BG123" s="2"/>
      <c r="BH123" s="51"/>
      <c r="BJ123" s="29"/>
      <c r="BL123" s="29"/>
    </row>
    <row r="124" spans="1:63" ht="18" hidden="1">
      <c r="A124" s="34"/>
      <c r="BB124" s="49"/>
      <c r="BC124" s="50" t="s">
        <v>88</v>
      </c>
      <c r="BD124" s="53"/>
      <c r="BE124" s="45"/>
      <c r="BF124" s="52"/>
      <c r="BG124" s="50" t="s">
        <v>93</v>
      </c>
      <c r="BH124" s="54"/>
      <c r="BK124" s="44" t="s">
        <v>87</v>
      </c>
    </row>
    <row r="125" spans="1:64" ht="19.5" hidden="1">
      <c r="A125" s="34"/>
      <c r="BB125" s="156">
        <f>IF(ISERR(+$BE$105),"",+$BE$105)</f>
        <v>315.67896416958484</v>
      </c>
      <c r="BC125" s="156"/>
      <c r="BD125" s="156"/>
      <c r="BF125" s="161">
        <f>IF(ISERR(+$BE$111),"",+$BE$111)</f>
        <v>0.9984850090034166</v>
      </c>
      <c r="BG125" s="161"/>
      <c r="BH125" s="161"/>
      <c r="BJ125" s="162">
        <f>IF(ISERR(+$BE$112),"",+$BE$112)</f>
        <v>3.95309016936082</v>
      </c>
      <c r="BK125" s="162"/>
      <c r="BL125" s="162"/>
    </row>
    <row r="126" ht="15.75" hidden="1">
      <c r="A126" s="34"/>
    </row>
    <row r="127" ht="15.75" hidden="1">
      <c r="A127" s="34"/>
    </row>
    <row r="128" spans="1:54" ht="15.75" hidden="1">
      <c r="A128" s="34"/>
      <c r="BB128" s="15"/>
    </row>
    <row r="129" ht="15.75" hidden="1">
      <c r="A129" s="1"/>
    </row>
    <row r="130" ht="15.75" hidden="1">
      <c r="A130" s="1"/>
    </row>
    <row r="131" ht="15.75" hidden="1">
      <c r="A131" s="34"/>
    </row>
    <row r="132" ht="15.75" hidden="1">
      <c r="A132" s="1"/>
    </row>
    <row r="133" ht="15.75" hidden="1">
      <c r="A133" s="34"/>
    </row>
    <row r="134" ht="15.75" hidden="1">
      <c r="A134" s="1"/>
    </row>
    <row r="135" ht="15.75" hidden="1">
      <c r="A135" s="34"/>
    </row>
    <row r="136" ht="15.75" hidden="1">
      <c r="A136" s="1"/>
    </row>
    <row r="137" ht="15.75" hidden="1">
      <c r="A137" s="34"/>
    </row>
    <row r="138" ht="15.75" hidden="1">
      <c r="A138" s="1"/>
    </row>
    <row r="139" ht="15.75" hidden="1">
      <c r="A139" s="34"/>
    </row>
    <row r="140" ht="15.75" hidden="1">
      <c r="A140" s="1"/>
    </row>
    <row r="141" ht="15.75" hidden="1">
      <c r="A141" s="34"/>
    </row>
    <row r="142" ht="15.75" hidden="1">
      <c r="A142" s="1"/>
    </row>
    <row r="143" ht="15.75" hidden="1">
      <c r="A143" s="34"/>
    </row>
    <row r="144" ht="15.75" hidden="1">
      <c r="A144" s="1"/>
    </row>
    <row r="145" spans="1:53" ht="15.75" hidden="1">
      <c r="A145" s="34"/>
      <c r="BA145" s="23" t="s">
        <v>78</v>
      </c>
    </row>
    <row r="146" ht="15.75" hidden="1">
      <c r="A146" s="1"/>
    </row>
    <row r="147" ht="15.75" hidden="1">
      <c r="A147" s="34"/>
    </row>
    <row r="148" ht="15.75" hidden="1">
      <c r="A148" s="1"/>
    </row>
    <row r="149" ht="15.75" hidden="1">
      <c r="A149" s="34"/>
    </row>
    <row r="150" ht="15.75" hidden="1">
      <c r="A150" s="1"/>
    </row>
    <row r="151" ht="15.75" hidden="1">
      <c r="A151" s="34"/>
    </row>
    <row r="152" ht="15.75" hidden="1">
      <c r="A152" s="1"/>
    </row>
    <row r="153" ht="15.75" hidden="1">
      <c r="A153" s="1"/>
    </row>
    <row r="154" ht="15.75" hidden="1">
      <c r="A154" s="1"/>
    </row>
    <row r="155" ht="15.75" hidden="1">
      <c r="A155" s="34"/>
    </row>
    <row r="156" ht="15.75" hidden="1">
      <c r="A156" s="1"/>
    </row>
    <row r="157" ht="15.75" hidden="1">
      <c r="A157" s="1"/>
    </row>
    <row r="158" ht="15.75" hidden="1">
      <c r="A158" s="1"/>
    </row>
    <row r="159" ht="15.75" hidden="1">
      <c r="A159" s="1"/>
    </row>
    <row r="160" ht="15.75" hidden="1"/>
    <row r="161" ht="15.75" hidden="1"/>
    <row r="162" ht="15.75" hidden="1"/>
    <row r="163" ht="15.75" hidden="1"/>
    <row r="164" ht="15.75" hidden="1"/>
    <row r="165" ht="15.75" hidden="1"/>
    <row r="166" ht="15.75" hidden="1"/>
    <row r="167" ht="15.75" hidden="1"/>
    <row r="168" ht="15.75" hidden="1"/>
    <row r="169" ht="15.75" hidden="1"/>
    <row r="170" ht="15.75" hidden="1"/>
    <row r="171" ht="15.75" hidden="1"/>
    <row r="172" ht="15.75" hidden="1"/>
    <row r="173" ht="15.75" hidden="1"/>
    <row r="174" ht="15.75" hidden="1"/>
    <row r="175" ht="15.75" hidden="1"/>
    <row r="176" ht="15.75" hidden="1"/>
    <row r="177" ht="15.75" hidden="1"/>
    <row r="178" ht="15.75" hidden="1"/>
    <row r="179" ht="15.75" hidden="1"/>
    <row r="180" ht="15.75" hidden="1"/>
    <row r="181" ht="15.75" hidden="1"/>
    <row r="182" ht="15.75" hidden="1"/>
    <row r="183" ht="15.75" hidden="1"/>
    <row r="184" ht="15.75" hidden="1"/>
    <row r="185" ht="15.75" hidden="1"/>
    <row r="186" ht="15.75" hidden="1"/>
    <row r="187" ht="15.75" hidden="1"/>
    <row r="188" ht="15.75" hidden="1"/>
    <row r="189" ht="15.75" hidden="1"/>
    <row r="190" ht="15.75" hidden="1"/>
    <row r="191" ht="15.75" hidden="1"/>
    <row r="192" ht="15.75" hidden="1"/>
    <row r="193" ht="15.75" hidden="1"/>
    <row r="194" ht="15.75" hidden="1"/>
    <row r="195" ht="15.75" hidden="1"/>
    <row r="196" ht="15.75" hidden="1"/>
    <row r="197" ht="15.75" hidden="1"/>
    <row r="198" ht="15.75" hidden="1"/>
    <row r="199" ht="15.75" hidden="1"/>
    <row r="200" ht="15.75" hidden="1"/>
    <row r="201" ht="15.75" hidden="1"/>
    <row r="202" ht="15.75" hidden="1"/>
    <row r="203" ht="15.75" hidden="1"/>
    <row r="204" ht="15.75" hidden="1"/>
    <row r="205" ht="15.75" hidden="1"/>
    <row r="206" ht="15.75" hidden="1"/>
    <row r="207" ht="15.75" hidden="1"/>
    <row r="208" ht="15.75" hidden="1"/>
    <row r="209" ht="15.75" hidden="1"/>
    <row r="210" ht="15.75" hidden="1"/>
    <row r="211" ht="15.75" hidden="1"/>
    <row r="212" ht="15.75" hidden="1"/>
    <row r="213" ht="15.75" hidden="1"/>
    <row r="214" ht="15.75" hidden="1"/>
    <row r="215" ht="15.75" hidden="1"/>
    <row r="216" ht="15.75" hidden="1"/>
    <row r="217" ht="15.75" hidden="1"/>
    <row r="218" ht="15.75" hidden="1"/>
    <row r="219" ht="15.75" hidden="1"/>
    <row r="220" ht="15.75" hidden="1"/>
    <row r="221" ht="15.75" hidden="1"/>
    <row r="222" ht="15.75" hidden="1"/>
    <row r="223" ht="15.75" hidden="1"/>
    <row r="224" ht="15.75" hidden="1"/>
    <row r="225" ht="15.75" hidden="1"/>
    <row r="226" ht="15.75" hidden="1"/>
    <row r="227" ht="15.75" hidden="1"/>
    <row r="228" ht="15.75" hidden="1"/>
    <row r="229" ht="15.75" hidden="1"/>
    <row r="230" ht="15.75" hidden="1"/>
    <row r="231" ht="15.75" hidden="1"/>
    <row r="232" ht="15.75" hidden="1"/>
    <row r="233" ht="15.75" hidden="1"/>
    <row r="234" ht="15.75" hidden="1"/>
    <row r="235" ht="15.75" hidden="1"/>
    <row r="236" ht="15.75" hidden="1"/>
    <row r="237" ht="15.75" hidden="1"/>
    <row r="238" ht="15.75" hidden="1"/>
    <row r="239" ht="15.75" hidden="1"/>
    <row r="240" ht="15.75" hidden="1"/>
    <row r="241" ht="15.75" hidden="1"/>
    <row r="242" ht="15.75" hidden="1"/>
    <row r="243" ht="15.75" hidden="1"/>
    <row r="244" ht="15.75" hidden="1"/>
    <row r="245" ht="15.75" hidden="1"/>
    <row r="246" ht="15.75" hidden="1"/>
    <row r="247" ht="15.75" hidden="1"/>
    <row r="248" ht="15.75" hidden="1"/>
    <row r="249" ht="15.75" hidden="1"/>
    <row r="250" ht="15.75" hidden="1"/>
    <row r="251" ht="15.75" hidden="1"/>
    <row r="252" ht="15.75" hidden="1"/>
    <row r="253" ht="15.75" hidden="1"/>
    <row r="254" ht="15.75" hidden="1"/>
    <row r="255" ht="15.75" hidden="1"/>
    <row r="256" ht="15.75" hidden="1"/>
    <row r="257" ht="15.75" hidden="1"/>
    <row r="258" ht="15.75" hidden="1"/>
    <row r="259" ht="15.75" hidden="1"/>
    <row r="260" ht="15.75" hidden="1"/>
    <row r="261" ht="15.75" hidden="1"/>
    <row r="262" ht="15.75" hidden="1"/>
    <row r="263" ht="15.75" hidden="1"/>
    <row r="264" ht="15.75" hidden="1"/>
    <row r="265" ht="15.75" hidden="1"/>
    <row r="266" ht="15.75" hidden="1"/>
    <row r="267" ht="15.75" hidden="1"/>
    <row r="268" ht="15.75" hidden="1"/>
    <row r="269" ht="15.75" hidden="1"/>
    <row r="270" ht="15.75" hidden="1"/>
    <row r="271" ht="15.75" hidden="1"/>
    <row r="272" ht="15.75" hidden="1"/>
    <row r="273" ht="15.75" hidden="1"/>
    <row r="274" ht="15.75" hidden="1"/>
    <row r="275" ht="15.75" hidden="1"/>
    <row r="276" ht="15.75" hidden="1"/>
    <row r="277" ht="15.75" hidden="1"/>
    <row r="278" ht="15.75" hidden="1"/>
    <row r="279" ht="15.75" hidden="1"/>
    <row r="280" ht="15.75" hidden="1"/>
    <row r="281" ht="15.75" hidden="1"/>
    <row r="282" ht="15.75" hidden="1"/>
    <row r="283" ht="15.75" hidden="1"/>
    <row r="284" ht="15.75" hidden="1"/>
    <row r="285" ht="15.75" hidden="1"/>
    <row r="286" ht="15.75" hidden="1"/>
    <row r="287" ht="15.75" hidden="1"/>
    <row r="288" ht="15.75" hidden="1"/>
    <row r="289" ht="15.75" hidden="1"/>
    <row r="290" ht="15.75" hidden="1"/>
    <row r="291" ht="15.75" hidden="1"/>
    <row r="292" ht="15.75" hidden="1"/>
    <row r="293" ht="15.75" hidden="1"/>
    <row r="294" ht="15.75" hidden="1"/>
    <row r="295" ht="15.75" hidden="1"/>
    <row r="296" ht="15.75" hidden="1"/>
    <row r="297" ht="15.75" hidden="1"/>
    <row r="298" ht="15.75" hidden="1"/>
    <row r="299" ht="15.75" hidden="1"/>
    <row r="300" ht="15.75" hidden="1"/>
    <row r="301" ht="15.75" hidden="1"/>
    <row r="302" ht="15.75" hidden="1"/>
    <row r="303" ht="15.75" hidden="1"/>
    <row r="304" ht="15.75" hidden="1"/>
    <row r="305" ht="15.75" hidden="1"/>
    <row r="306" ht="15.75" hidden="1"/>
    <row r="307" ht="15.75" hidden="1"/>
    <row r="308" ht="15.75" hidden="1"/>
    <row r="309" ht="15.75" hidden="1"/>
    <row r="310" ht="15.75" hidden="1"/>
    <row r="311" ht="15.75" hidden="1"/>
    <row r="312" ht="15.75" hidden="1"/>
    <row r="313" ht="15.75" hidden="1"/>
    <row r="314" ht="15.75" hidden="1"/>
    <row r="315" ht="15.75" hidden="1"/>
    <row r="316" ht="15.75" hidden="1"/>
    <row r="317" ht="15.75" hidden="1"/>
    <row r="318" ht="15.75" hidden="1"/>
    <row r="319" ht="15.75" hidden="1"/>
    <row r="320" ht="15.75" hidden="1"/>
    <row r="321" ht="15.75" hidden="1"/>
    <row r="322" ht="15.75" hidden="1"/>
    <row r="323" ht="15.75" hidden="1"/>
    <row r="324" ht="15.75" hidden="1"/>
    <row r="325" ht="15.75" hidden="1"/>
    <row r="326" ht="15.75" hidden="1"/>
    <row r="327" ht="15.75" hidden="1"/>
    <row r="328" ht="15.75" hidden="1"/>
    <row r="329" ht="15.75" hidden="1"/>
    <row r="330" ht="15.75" hidden="1"/>
    <row r="331" ht="15.75" hidden="1"/>
    <row r="332" ht="15.75" hidden="1"/>
    <row r="333" ht="15.75" hidden="1"/>
    <row r="334" ht="15.75" hidden="1"/>
    <row r="335" ht="15.75" hidden="1"/>
    <row r="336" ht="15.75" hidden="1"/>
    <row r="337" ht="15.75" hidden="1"/>
    <row r="338" ht="15.75" hidden="1"/>
    <row r="339" ht="15.75" hidden="1"/>
    <row r="340" ht="15.75" hidden="1"/>
    <row r="341" ht="15.75" hidden="1"/>
    <row r="342" ht="15.75" hidden="1"/>
    <row r="343" ht="15.75" hidden="1"/>
    <row r="344" ht="15.75" hidden="1"/>
    <row r="345" ht="15.75" hidden="1"/>
    <row r="346" ht="15.75" hidden="1"/>
    <row r="347" ht="15.75" hidden="1"/>
    <row r="348" ht="15.75" hidden="1"/>
    <row r="349" ht="15.75" hidden="1"/>
    <row r="350" ht="15.75" hidden="1"/>
    <row r="351" ht="15.75" hidden="1"/>
    <row r="352" ht="15.75" hidden="1"/>
    <row r="353" ht="15.75" hidden="1"/>
    <row r="354" ht="15.75" hidden="1"/>
    <row r="355" ht="15.75" hidden="1"/>
    <row r="356" ht="15.75" hidden="1"/>
    <row r="357" ht="15.75" hidden="1"/>
    <row r="358" ht="15.75" hidden="1"/>
    <row r="359" ht="15.75" hidden="1"/>
    <row r="360" ht="15.75" hidden="1"/>
    <row r="361" ht="15.75" hidden="1"/>
    <row r="362" ht="15.75" hidden="1"/>
    <row r="363" ht="15.75" hidden="1"/>
    <row r="364" ht="15.75" hidden="1"/>
    <row r="365" ht="15.75" hidden="1"/>
    <row r="366" ht="15.75" hidden="1"/>
    <row r="367" ht="15.75" hidden="1"/>
    <row r="368" ht="15.75" hidden="1"/>
    <row r="369" ht="15.75" hidden="1"/>
    <row r="370" ht="15.75" hidden="1"/>
    <row r="371" ht="15.75" hidden="1"/>
    <row r="372" ht="15.75" hidden="1"/>
    <row r="373" ht="15.75" hidden="1"/>
    <row r="374" ht="15.75" hidden="1"/>
    <row r="375" ht="15.75" hidden="1"/>
    <row r="376" ht="15.75" hidden="1"/>
    <row r="377" ht="15.75" hidden="1"/>
    <row r="378" ht="15.75" hidden="1"/>
    <row r="379" ht="15.75" hidden="1"/>
    <row r="380" ht="15.75" hidden="1"/>
    <row r="381" ht="15.75" hidden="1"/>
    <row r="382" ht="15.75" hidden="1"/>
    <row r="383" ht="15.75" hidden="1"/>
    <row r="384" ht="15.75" hidden="1"/>
    <row r="385" ht="15.75" hidden="1"/>
    <row r="386" ht="15.75" hidden="1"/>
    <row r="387" ht="15.75" hidden="1"/>
    <row r="388" ht="15.75" hidden="1"/>
    <row r="389" ht="15.75" hidden="1"/>
    <row r="390" ht="15.75" hidden="1"/>
    <row r="391" ht="15.75" hidden="1"/>
    <row r="392" ht="15.75" hidden="1"/>
    <row r="393" ht="15.75" hidden="1"/>
    <row r="394" ht="15.75" hidden="1"/>
    <row r="395" ht="15.75" hidden="1"/>
    <row r="396" ht="15.75" hidden="1"/>
    <row r="397" ht="15.75" hidden="1"/>
    <row r="398" ht="15.75" hidden="1"/>
    <row r="399" ht="15.75" hidden="1"/>
    <row r="400" ht="15.75" hidden="1"/>
    <row r="401" ht="15.75" hidden="1"/>
    <row r="402" ht="15.75" hidden="1"/>
    <row r="403" ht="15.75" hidden="1"/>
    <row r="404" ht="15.75" hidden="1"/>
    <row r="405" ht="15.75" hidden="1"/>
    <row r="406" ht="15.75" hidden="1"/>
    <row r="407" ht="15.75" hidden="1"/>
    <row r="408" ht="15.75" hidden="1"/>
    <row r="409" ht="15.75" hidden="1"/>
    <row r="410" ht="15.75" hidden="1"/>
    <row r="411" ht="15.75" hidden="1"/>
    <row r="412" ht="15.75" hidden="1"/>
    <row r="413" ht="15.75" hidden="1"/>
    <row r="414" ht="15.75" hidden="1"/>
    <row r="415" ht="15.75" hidden="1"/>
    <row r="416" ht="15.75" hidden="1"/>
    <row r="417" ht="15.75" hidden="1"/>
    <row r="418" ht="15.75" hidden="1"/>
    <row r="419" ht="15.75" hidden="1"/>
    <row r="420" ht="15.75" hidden="1"/>
    <row r="421" ht="15.75" hidden="1"/>
    <row r="422" ht="15.75" hidden="1"/>
    <row r="423" ht="15.75" hidden="1"/>
    <row r="424" ht="15.75" hidden="1"/>
    <row r="425" ht="15.75" hidden="1"/>
    <row r="426" ht="15.75" hidden="1"/>
    <row r="427" ht="15.75" hidden="1"/>
    <row r="428" ht="15.75" hidden="1"/>
    <row r="429" ht="15.75" hidden="1"/>
    <row r="430" ht="15.75" hidden="1"/>
    <row r="431" ht="15.75" hidden="1"/>
    <row r="432" ht="15.75" hidden="1"/>
    <row r="433" ht="15.75" hidden="1"/>
    <row r="434" ht="15.75" hidden="1"/>
    <row r="435" ht="15.75" hidden="1"/>
    <row r="436" ht="15.75" hidden="1"/>
    <row r="437" ht="15.75" hidden="1"/>
    <row r="438" ht="15.75" hidden="1"/>
    <row r="439" ht="15.75" hidden="1"/>
    <row r="440" ht="15.75" hidden="1"/>
    <row r="441" ht="15.75" hidden="1"/>
    <row r="442" ht="15.75" hidden="1"/>
    <row r="443" ht="15.75" hidden="1"/>
    <row r="444" ht="15.75" hidden="1"/>
    <row r="445" ht="15.75" hidden="1"/>
    <row r="446" ht="15.75" hidden="1"/>
    <row r="447" ht="15.75" hidden="1"/>
    <row r="448" ht="15.75" hidden="1"/>
    <row r="449" ht="15.75" hidden="1"/>
    <row r="450" ht="15.75" hidden="1"/>
    <row r="451" ht="15.75" hidden="1"/>
    <row r="452" ht="15.75" hidden="1"/>
    <row r="453" ht="15.75" hidden="1"/>
    <row r="454" ht="15.75" hidden="1"/>
    <row r="455" ht="15.75" hidden="1"/>
    <row r="456" ht="15.75" hidden="1"/>
    <row r="457" ht="15.75" hidden="1"/>
    <row r="458" ht="15.75" hidden="1"/>
    <row r="459" ht="15.75" hidden="1"/>
    <row r="460" ht="15.75" hidden="1"/>
    <row r="461" ht="15.75" hidden="1"/>
    <row r="462" ht="15.75" hidden="1"/>
    <row r="463" ht="15.75" hidden="1"/>
    <row r="464" ht="15.75" hidden="1"/>
    <row r="465" ht="15.75" hidden="1"/>
    <row r="466" ht="15.75" hidden="1"/>
    <row r="467" ht="15.75" hidden="1"/>
    <row r="468" ht="15.75" hidden="1"/>
    <row r="469" ht="15.75" hidden="1"/>
    <row r="470" ht="15.75" hidden="1"/>
    <row r="471" ht="15.75" hidden="1"/>
    <row r="472" ht="15.75" hidden="1"/>
    <row r="473" ht="15.75" hidden="1"/>
    <row r="474" ht="15.75" hidden="1"/>
    <row r="475" ht="15.75" hidden="1"/>
    <row r="476" ht="15.75" hidden="1"/>
    <row r="477" ht="15.75" hidden="1"/>
    <row r="478" ht="15.75" hidden="1"/>
    <row r="479" ht="15.75" hidden="1"/>
    <row r="480" ht="15.75" hidden="1"/>
    <row r="481" ht="15.75" hidden="1"/>
    <row r="482" ht="15.75" hidden="1"/>
    <row r="483" ht="15.75" hidden="1"/>
    <row r="484" ht="15.75" hidden="1"/>
    <row r="485" ht="15.75" hidden="1"/>
    <row r="486" ht="15.75" hidden="1"/>
    <row r="487" ht="15.75" hidden="1"/>
    <row r="488" ht="15.75" hidden="1"/>
    <row r="489" ht="15.75" hidden="1"/>
    <row r="490" ht="15.75" hidden="1"/>
    <row r="491" ht="15.75" hidden="1"/>
    <row r="492" ht="15.75" hidden="1"/>
    <row r="493" ht="15.75" hidden="1"/>
    <row r="494" ht="15.75" hidden="1"/>
    <row r="495" ht="15.75" hidden="1"/>
    <row r="496" ht="15.75" hidden="1"/>
    <row r="497" ht="15.75" hidden="1"/>
    <row r="498" ht="15.75" hidden="1"/>
    <row r="499" ht="15.75" hidden="1"/>
    <row r="500" ht="15.75" hidden="1"/>
    <row r="501" ht="15.75" hidden="1"/>
    <row r="502" ht="15.75" hidden="1"/>
    <row r="503" ht="15.75" hidden="1"/>
    <row r="504" ht="15.75" hidden="1"/>
    <row r="505" ht="15.75" hidden="1"/>
    <row r="506" ht="15.75" hidden="1"/>
    <row r="507" ht="15.75" hidden="1"/>
    <row r="508" ht="15.75" hidden="1"/>
    <row r="509" ht="15.75" hidden="1"/>
    <row r="510" ht="15.75" hidden="1"/>
    <row r="511" ht="15.75" hidden="1"/>
    <row r="512" ht="15.75" hidden="1"/>
    <row r="513" ht="15.75" hidden="1"/>
    <row r="514" ht="15.75" hidden="1"/>
    <row r="515" ht="15.75" hidden="1"/>
    <row r="516" ht="15.75" hidden="1"/>
    <row r="517" ht="15.75" hidden="1"/>
    <row r="518" ht="15.75" hidden="1"/>
    <row r="519" ht="15.75" hidden="1"/>
    <row r="520" ht="15.75" hidden="1"/>
    <row r="521" ht="15.75" hidden="1"/>
    <row r="522" ht="15.75" hidden="1"/>
    <row r="523" ht="15.75" hidden="1"/>
    <row r="524" ht="15.75" hidden="1"/>
    <row r="525" ht="15.75" hidden="1"/>
    <row r="526" ht="15.75" hidden="1"/>
    <row r="527" ht="15.75" hidden="1"/>
    <row r="528" ht="15.75" hidden="1"/>
    <row r="529" ht="15.75" hidden="1"/>
    <row r="530" ht="15.75" hidden="1"/>
    <row r="531" ht="15.75" hidden="1"/>
    <row r="532" ht="15.75" hidden="1"/>
    <row r="533" ht="15.75" hidden="1"/>
    <row r="534" ht="15.75" hidden="1"/>
    <row r="535" ht="15.75" hidden="1"/>
    <row r="536" ht="15.75" hidden="1"/>
    <row r="537" ht="15.75" hidden="1"/>
    <row r="538" ht="15.75" hidden="1"/>
    <row r="539" ht="15.75" hidden="1"/>
    <row r="540" ht="15.75" hidden="1"/>
    <row r="541" ht="15.75" hidden="1"/>
    <row r="542" ht="15.75" hidden="1"/>
    <row r="543" ht="15.75" hidden="1"/>
    <row r="544" ht="15.75" hidden="1"/>
    <row r="545" ht="15.75" hidden="1"/>
    <row r="546" ht="15.75" hidden="1"/>
    <row r="547" ht="15.75" hidden="1"/>
    <row r="548" ht="15.75" hidden="1"/>
    <row r="549" ht="15.75" hidden="1"/>
    <row r="550" ht="15.75" hidden="1"/>
    <row r="551" ht="15.75" hidden="1"/>
    <row r="552" ht="15.75" hidden="1"/>
    <row r="553" ht="15.75" hidden="1"/>
    <row r="554" ht="15.75" hidden="1"/>
    <row r="555" ht="15.75" hidden="1"/>
    <row r="556" ht="15.75" hidden="1"/>
    <row r="557" ht="15.75" hidden="1"/>
    <row r="558" ht="15.75" hidden="1"/>
    <row r="559" ht="15.75" hidden="1"/>
    <row r="560" ht="15.75" hidden="1"/>
    <row r="561" ht="15.75" hidden="1"/>
    <row r="562" ht="15.75" hidden="1"/>
    <row r="563" ht="15.75" hidden="1"/>
    <row r="564" ht="15.75" hidden="1"/>
    <row r="565" ht="15.75" hidden="1"/>
    <row r="566" ht="15.75" hidden="1"/>
    <row r="567" ht="15.75" hidden="1"/>
    <row r="568" ht="15.75" hidden="1"/>
    <row r="569" ht="15.75" hidden="1"/>
    <row r="570" ht="15.75" hidden="1"/>
    <row r="571" ht="15.75" hidden="1"/>
    <row r="572" ht="15.75" hidden="1"/>
    <row r="573" ht="15.75" hidden="1"/>
    <row r="574" ht="15.75" hidden="1"/>
    <row r="575" ht="15.75" hidden="1"/>
    <row r="576" ht="15.75" hidden="1"/>
    <row r="577" ht="15.75" hidden="1"/>
    <row r="578" ht="15.75" hidden="1"/>
    <row r="579" ht="15.75" hidden="1"/>
    <row r="580" ht="15.75" hidden="1"/>
    <row r="581" ht="15.75" hidden="1"/>
    <row r="582" ht="15.75" hidden="1"/>
    <row r="583" ht="15.75" hidden="1"/>
    <row r="584" ht="15.75" hidden="1"/>
    <row r="585" ht="15.75" hidden="1"/>
    <row r="586" ht="15.75" hidden="1"/>
    <row r="587" ht="15.75" hidden="1"/>
    <row r="588" ht="15.75" hidden="1"/>
    <row r="589" ht="15.75" hidden="1"/>
    <row r="590" ht="15.75" hidden="1"/>
    <row r="591" ht="15.75" hidden="1"/>
    <row r="592" ht="15.75" hidden="1"/>
    <row r="593" ht="15.75" hidden="1"/>
    <row r="594" ht="15.75" hidden="1"/>
    <row r="595" ht="15.75" hidden="1"/>
    <row r="596" ht="15.75" hidden="1"/>
    <row r="597" ht="15.75" hidden="1"/>
    <row r="598" ht="15.75" hidden="1"/>
    <row r="599" ht="15.75" hidden="1"/>
    <row r="600" ht="15.75" hidden="1"/>
    <row r="601" ht="15.75" hidden="1"/>
    <row r="602" ht="15.75" hidden="1"/>
    <row r="603" ht="15.75" hidden="1"/>
    <row r="604" ht="15.75" hidden="1"/>
    <row r="605" ht="15.75" hidden="1"/>
    <row r="606" ht="15.75" hidden="1"/>
    <row r="607" ht="15.75" hidden="1"/>
    <row r="608" ht="15.75" hidden="1"/>
    <row r="609" ht="15.75" hidden="1"/>
    <row r="610" ht="15.75" hidden="1"/>
    <row r="611" ht="15.75" hidden="1"/>
    <row r="612" ht="15.75" hidden="1"/>
    <row r="613" ht="15.75" hidden="1"/>
    <row r="614" ht="15.75" hidden="1"/>
    <row r="615" ht="15.75" hidden="1"/>
    <row r="616" ht="15.75" hidden="1"/>
    <row r="617" ht="15.75" hidden="1"/>
    <row r="618" ht="15.75" hidden="1"/>
    <row r="619" ht="15.75" hidden="1"/>
    <row r="620" ht="15.75" hidden="1"/>
    <row r="621" ht="15.75" hidden="1"/>
    <row r="622" ht="15.75" hidden="1"/>
    <row r="623" ht="15.75" hidden="1"/>
    <row r="624" ht="15.75" hidden="1"/>
    <row r="625" ht="15.75" hidden="1"/>
    <row r="626" ht="15.75" hidden="1"/>
    <row r="627" ht="15.75" hidden="1"/>
    <row r="628" ht="15.75" hidden="1"/>
    <row r="629" ht="15.75" hidden="1"/>
    <row r="630" ht="15.75" hidden="1"/>
    <row r="631" ht="15.75" hidden="1"/>
    <row r="632" ht="15.75" hidden="1"/>
    <row r="633" ht="15.75" hidden="1"/>
    <row r="634" ht="15.75" hidden="1"/>
    <row r="635" ht="15.75" hidden="1"/>
    <row r="636" ht="15.75" hidden="1"/>
    <row r="637" ht="15.75" hidden="1"/>
    <row r="638" ht="15.75" hidden="1"/>
    <row r="639" ht="15.75" hidden="1"/>
    <row r="640" ht="15.75" hidden="1"/>
    <row r="641" ht="15.75" hidden="1"/>
    <row r="642" ht="15.75" hidden="1"/>
    <row r="643" ht="15.75" hidden="1"/>
    <row r="644" ht="15.75" hidden="1"/>
    <row r="645" ht="15.75" hidden="1"/>
    <row r="646" ht="15.75" hidden="1"/>
    <row r="647" ht="15.75" hidden="1"/>
    <row r="648" ht="15.75" hidden="1"/>
    <row r="649" ht="15.75" hidden="1"/>
    <row r="650" ht="15.75" hidden="1"/>
    <row r="651" ht="15.75" hidden="1"/>
    <row r="652" ht="15.75" hidden="1"/>
    <row r="653" ht="15.75" hidden="1"/>
    <row r="654" ht="15.75" hidden="1"/>
    <row r="655" ht="15.75" hidden="1"/>
    <row r="656" ht="15.75" hidden="1"/>
    <row r="657" ht="15.75" hidden="1"/>
    <row r="658" ht="15.75" hidden="1"/>
    <row r="659" ht="15.75" hidden="1"/>
    <row r="660" ht="15.75" hidden="1"/>
    <row r="661" ht="15.75" hidden="1"/>
    <row r="662" ht="15.75" hidden="1"/>
    <row r="663" ht="15.75" hidden="1"/>
    <row r="664" ht="15.75" hidden="1"/>
    <row r="665" ht="15.75" hidden="1"/>
    <row r="666" ht="15.75" hidden="1"/>
    <row r="667" ht="15.75" hidden="1"/>
    <row r="668" ht="15.75" hidden="1"/>
    <row r="669" ht="15.75" hidden="1"/>
    <row r="670" ht="15.75" hidden="1"/>
    <row r="671" ht="15.75" hidden="1"/>
    <row r="672" ht="15.75" hidden="1"/>
    <row r="673" ht="15.75" hidden="1"/>
    <row r="674" ht="15.75" hidden="1"/>
    <row r="675" ht="15.75" hidden="1"/>
    <row r="676" ht="15.75" hidden="1"/>
    <row r="677" ht="15.75" hidden="1"/>
    <row r="678" ht="15.75" hidden="1"/>
    <row r="679" ht="15.75" hidden="1"/>
    <row r="680" ht="15.75" hidden="1"/>
    <row r="681" ht="15.75" hidden="1"/>
    <row r="682" ht="15.75" hidden="1"/>
    <row r="683" ht="15.75" hidden="1"/>
    <row r="684" ht="15.75" hidden="1"/>
    <row r="685" ht="15.75" hidden="1"/>
    <row r="686" ht="15.75" hidden="1"/>
    <row r="687" ht="15.75" hidden="1"/>
    <row r="688" ht="15.75" hidden="1"/>
    <row r="689" ht="15.75" hidden="1"/>
    <row r="690" ht="15.75" hidden="1"/>
    <row r="691" ht="15.75" hidden="1"/>
    <row r="692" ht="15.75" hidden="1"/>
    <row r="693" ht="15.75" hidden="1"/>
    <row r="694" ht="15.75" hidden="1"/>
    <row r="695" ht="15.75" hidden="1"/>
    <row r="696" ht="15.75" hidden="1"/>
    <row r="697" ht="15.75" hidden="1"/>
    <row r="698" ht="15.75" hidden="1"/>
    <row r="699" ht="15.75" hidden="1"/>
    <row r="700" ht="15.75" hidden="1"/>
    <row r="701" ht="15.75" hidden="1"/>
    <row r="702" ht="15.75" hidden="1"/>
    <row r="703" ht="15.75" hidden="1"/>
    <row r="704" ht="15.75" hidden="1"/>
    <row r="705" ht="15.75" hidden="1"/>
    <row r="706" ht="15.75" hidden="1"/>
    <row r="707" ht="15.75" hidden="1"/>
    <row r="708" ht="15.75" hidden="1"/>
    <row r="709" ht="15.75" hidden="1"/>
    <row r="710" ht="15.75" hidden="1"/>
    <row r="711" ht="15.75" hidden="1"/>
    <row r="712" ht="15.75" hidden="1"/>
    <row r="713" ht="15.75" hidden="1"/>
    <row r="714" ht="15.75" hidden="1"/>
    <row r="715" ht="15.75" hidden="1"/>
    <row r="716" ht="15.75" hidden="1"/>
    <row r="717" ht="15.75" hidden="1"/>
    <row r="718" ht="15.75" hidden="1"/>
    <row r="719" ht="15.75" hidden="1"/>
    <row r="720" ht="15.75" hidden="1"/>
    <row r="721" ht="15.75" hidden="1"/>
    <row r="722" ht="15.75" hidden="1"/>
    <row r="723" ht="15.75" hidden="1"/>
    <row r="724" ht="15.75" hidden="1"/>
    <row r="725" ht="15.75" hidden="1"/>
    <row r="726" ht="15.75" hidden="1"/>
    <row r="727" ht="15.75" hidden="1"/>
    <row r="728" ht="15.75" hidden="1"/>
    <row r="729" ht="15.75" hidden="1"/>
    <row r="730" ht="15.75" hidden="1"/>
    <row r="731" ht="15.75" hidden="1"/>
    <row r="732" ht="15.75" hidden="1"/>
    <row r="733" ht="15.75" hidden="1"/>
    <row r="734" ht="15.75" hidden="1"/>
    <row r="735" ht="15.75" hidden="1"/>
    <row r="736" ht="15.75" hidden="1"/>
    <row r="737" ht="15.75" hidden="1"/>
    <row r="738" ht="15.75" hidden="1"/>
    <row r="739" ht="15.75" hidden="1"/>
    <row r="740" ht="15.75" hidden="1"/>
    <row r="741" ht="15.75" hidden="1"/>
    <row r="742" ht="15.75" hidden="1"/>
    <row r="743" ht="15.75" hidden="1"/>
    <row r="744" ht="15.75" hidden="1"/>
    <row r="745" ht="15.75" hidden="1"/>
    <row r="746" ht="15.75" hidden="1"/>
    <row r="747" ht="15.75" hidden="1"/>
    <row r="748" ht="15.75" hidden="1"/>
    <row r="749" ht="15.75" hidden="1"/>
    <row r="750" ht="15.75" hidden="1"/>
    <row r="751" ht="15.75" hidden="1"/>
    <row r="752" ht="15.75" hidden="1"/>
    <row r="753" ht="15.75" hidden="1"/>
    <row r="754" ht="15.75" hidden="1"/>
    <row r="755" ht="15.75" hidden="1"/>
    <row r="756" ht="15.75" hidden="1"/>
    <row r="757" ht="15.75" hidden="1"/>
    <row r="758" ht="15.75" hidden="1"/>
    <row r="759" ht="15.75" hidden="1"/>
    <row r="760" ht="15.75" hidden="1"/>
    <row r="761" ht="15.75" hidden="1"/>
    <row r="762" ht="15.75" hidden="1"/>
    <row r="763" ht="15.75" hidden="1"/>
    <row r="764" ht="15.75" hidden="1"/>
    <row r="765" ht="15.75" hidden="1"/>
    <row r="766" ht="15.75" hidden="1"/>
    <row r="767" ht="15.75" hidden="1"/>
    <row r="768" ht="15.75" hidden="1"/>
    <row r="769" ht="15.75" hidden="1"/>
    <row r="770" ht="15.75" hidden="1"/>
    <row r="771" ht="15.75" hidden="1"/>
    <row r="772" ht="15.75" hidden="1"/>
    <row r="773" ht="15.75" hidden="1"/>
    <row r="774" ht="15.75" hidden="1"/>
    <row r="775" ht="15.75" hidden="1"/>
    <row r="776" ht="15.75" hidden="1"/>
    <row r="777" ht="15.75" hidden="1"/>
    <row r="778" ht="15.75" hidden="1"/>
    <row r="779" ht="15.75" hidden="1"/>
    <row r="780" ht="15.75" hidden="1"/>
    <row r="781" ht="15.75" hidden="1"/>
    <row r="782" ht="15.75" hidden="1"/>
    <row r="783" ht="15.75" hidden="1"/>
    <row r="784" ht="15.75" hidden="1"/>
    <row r="785" ht="15.75" hidden="1"/>
    <row r="786" ht="15.75" hidden="1"/>
    <row r="787" ht="15.75" hidden="1"/>
    <row r="788" ht="15.75" hidden="1"/>
    <row r="789" ht="15.75" hidden="1"/>
    <row r="790" ht="15.75" hidden="1"/>
    <row r="791" ht="15.75" hidden="1"/>
    <row r="792" ht="15.75" hidden="1"/>
    <row r="793" ht="15.75" hidden="1"/>
    <row r="794" ht="15.75" hidden="1"/>
    <row r="795" ht="15.75" hidden="1"/>
    <row r="796" ht="15.75" hidden="1"/>
    <row r="797" ht="15.75" hidden="1"/>
    <row r="798" ht="15.75" hidden="1"/>
    <row r="799" ht="15.75" hidden="1"/>
    <row r="800" ht="15.75" hidden="1"/>
    <row r="801" ht="15.75" hidden="1"/>
    <row r="802" ht="15.75" hidden="1"/>
    <row r="803" ht="15.75" hidden="1"/>
    <row r="804" ht="15.75" hidden="1"/>
    <row r="805" ht="15.75" hidden="1"/>
    <row r="806" ht="15.75" hidden="1"/>
    <row r="807" ht="15.75" hidden="1"/>
    <row r="808" ht="15.75" hidden="1"/>
    <row r="809" ht="15.75" hidden="1"/>
    <row r="810" ht="15.75" hidden="1"/>
    <row r="811" ht="15.75" hidden="1"/>
    <row r="812" ht="15.75" hidden="1"/>
    <row r="813" ht="15.75" hidden="1"/>
    <row r="814" ht="15.75" hidden="1"/>
    <row r="815" ht="15.75" hidden="1"/>
    <row r="816" ht="15.75" hidden="1"/>
    <row r="817" ht="15.75" hidden="1"/>
    <row r="818" ht="15.75" hidden="1"/>
    <row r="819" ht="15.75" hidden="1"/>
    <row r="820" ht="15.75" hidden="1"/>
    <row r="821" ht="15.75" hidden="1"/>
    <row r="822" ht="15.75" hidden="1"/>
    <row r="823" ht="15.75" hidden="1"/>
    <row r="824" ht="15.75" hidden="1"/>
    <row r="825" ht="15.75" hidden="1"/>
    <row r="826" ht="15.75" hidden="1"/>
    <row r="827" ht="15.75" hidden="1"/>
    <row r="828" ht="15.75" hidden="1"/>
    <row r="829" ht="15.75" hidden="1"/>
    <row r="830" ht="15.75" hidden="1"/>
    <row r="831" ht="15.75" hidden="1"/>
    <row r="832" ht="15.75" hidden="1"/>
    <row r="833" ht="15.75" hidden="1"/>
    <row r="834" ht="15.75" hidden="1"/>
    <row r="835" ht="15.75" hidden="1"/>
    <row r="836" ht="15.75" hidden="1"/>
    <row r="837" ht="15.75" hidden="1"/>
    <row r="838" ht="15.75" hidden="1"/>
    <row r="839" ht="15.75" hidden="1"/>
    <row r="840" ht="15.75" hidden="1"/>
    <row r="841" ht="15.75" hidden="1"/>
    <row r="842" ht="15.75" hidden="1"/>
    <row r="843" ht="15.75" hidden="1"/>
    <row r="844" ht="15.75" hidden="1"/>
    <row r="845" ht="15.75" hidden="1"/>
    <row r="846" ht="15.75" hidden="1"/>
    <row r="847" ht="15.75" hidden="1"/>
    <row r="848" ht="15.75" hidden="1"/>
    <row r="849" ht="15.75" hidden="1"/>
    <row r="850" ht="15.75" hidden="1"/>
    <row r="851" ht="15.75" hidden="1"/>
    <row r="852" ht="15.75" hidden="1"/>
    <row r="853" ht="15.75" hidden="1"/>
    <row r="854" ht="15.75" hidden="1"/>
    <row r="855" ht="15.75" hidden="1"/>
    <row r="856" ht="15.75" hidden="1"/>
    <row r="857" ht="15.75" hidden="1"/>
    <row r="858" ht="15.75" hidden="1"/>
    <row r="859" ht="15.75" hidden="1"/>
    <row r="860" ht="15.75" hidden="1"/>
    <row r="861" ht="15.75" hidden="1"/>
    <row r="862" ht="15.75" hidden="1"/>
    <row r="863" ht="15.75" hidden="1"/>
    <row r="864" ht="15.75" hidden="1"/>
    <row r="865" ht="15.75" hidden="1"/>
    <row r="866" ht="15.75" hidden="1"/>
    <row r="867" ht="15.75" hidden="1"/>
    <row r="868" ht="15.75" hidden="1"/>
    <row r="869" ht="15.75" hidden="1"/>
    <row r="870" ht="15.75" hidden="1"/>
    <row r="871" ht="15.75" hidden="1"/>
    <row r="872" ht="15.75" hidden="1"/>
    <row r="873" ht="15.75" hidden="1"/>
    <row r="874" ht="15.75" hidden="1"/>
    <row r="875" ht="15.75" hidden="1"/>
    <row r="876" ht="15.75" hidden="1"/>
    <row r="877" ht="15.75" hidden="1"/>
    <row r="878" ht="15.75" hidden="1"/>
    <row r="879" ht="15.75" hidden="1"/>
    <row r="880" ht="15.75" hidden="1"/>
    <row r="881" ht="15.75" hidden="1"/>
    <row r="882" ht="15.75" hidden="1"/>
    <row r="883" ht="15.75" hidden="1"/>
    <row r="884" ht="15.75" hidden="1"/>
    <row r="885" ht="15.75" hidden="1"/>
    <row r="886" ht="15.75" hidden="1"/>
    <row r="887" ht="15.75" hidden="1"/>
    <row r="888" ht="15.75" hidden="1"/>
    <row r="889" ht="15.75" hidden="1"/>
    <row r="890" ht="15.75" hidden="1"/>
    <row r="891" ht="15.75" hidden="1"/>
    <row r="892" ht="15.75" hidden="1"/>
    <row r="893" ht="15.75" hidden="1"/>
    <row r="894" ht="15.75" hidden="1"/>
    <row r="895" ht="15.75" hidden="1"/>
    <row r="896" ht="15.75" hidden="1"/>
    <row r="897" ht="15.75" hidden="1"/>
    <row r="898" ht="15.75" hidden="1"/>
    <row r="899" ht="15.75" hidden="1"/>
    <row r="900" ht="15.75" hidden="1"/>
    <row r="901" ht="15.75" hidden="1"/>
    <row r="902" ht="15.75" hidden="1"/>
    <row r="903" ht="15.75" hidden="1"/>
    <row r="904" ht="15.75" hidden="1"/>
    <row r="905" ht="15.75" hidden="1"/>
    <row r="906" ht="15.75" hidden="1"/>
    <row r="907" ht="15.75" hidden="1"/>
    <row r="908" ht="15.75" hidden="1"/>
    <row r="909" ht="15.75" hidden="1"/>
    <row r="910" ht="15.75" hidden="1"/>
    <row r="911" ht="15.75" hidden="1"/>
    <row r="912" ht="15.75" hidden="1"/>
    <row r="913" ht="15.75" hidden="1"/>
    <row r="914" ht="15.75" hidden="1"/>
    <row r="915" ht="15.75" hidden="1"/>
    <row r="916" ht="15.75" hidden="1"/>
    <row r="917" ht="15.75" hidden="1"/>
    <row r="918" ht="15.75" hidden="1"/>
    <row r="919" ht="15.75" hidden="1"/>
    <row r="920" ht="15.75" hidden="1"/>
    <row r="921" ht="15.75" hidden="1"/>
    <row r="922" ht="15.75" hidden="1"/>
    <row r="923" ht="15.75" hidden="1"/>
    <row r="924" ht="15.75" hidden="1"/>
    <row r="925" ht="15.75" hidden="1"/>
    <row r="926" ht="15.75" hidden="1"/>
    <row r="927" ht="15.75" hidden="1"/>
    <row r="928" ht="15.75" hidden="1"/>
    <row r="929" ht="15.75" hidden="1"/>
    <row r="930" ht="15.75" hidden="1"/>
    <row r="931" ht="15.75" hidden="1"/>
    <row r="932" ht="15.75" hidden="1"/>
    <row r="933" ht="15.75" hidden="1"/>
    <row r="934" ht="15.75" hidden="1"/>
    <row r="935" ht="15.75" hidden="1"/>
    <row r="936" ht="15.75" hidden="1"/>
    <row r="937" ht="15.75" hidden="1"/>
    <row r="938" ht="15.75" hidden="1"/>
    <row r="939" ht="15.75" hidden="1"/>
    <row r="940" ht="15.75" hidden="1"/>
    <row r="941" ht="15.75" hidden="1"/>
    <row r="942" ht="15.75" hidden="1"/>
    <row r="943" ht="15.75" hidden="1"/>
    <row r="944" ht="15.75" hidden="1"/>
    <row r="945" ht="15.75" hidden="1"/>
    <row r="946" ht="15.75" hidden="1"/>
    <row r="947" ht="15.75" hidden="1"/>
    <row r="948" ht="15.75" hidden="1"/>
    <row r="949" ht="15.75" hidden="1"/>
    <row r="950" ht="15.75" hidden="1"/>
    <row r="951" ht="15.75" hidden="1"/>
    <row r="952" ht="15.75" hidden="1"/>
    <row r="953" ht="15.75" hidden="1"/>
    <row r="954" ht="15.75" hidden="1"/>
    <row r="955" ht="15.75" hidden="1"/>
    <row r="956" ht="15.75" hidden="1"/>
    <row r="957" ht="15.75" hidden="1"/>
    <row r="958" ht="15.75" hidden="1"/>
    <row r="959" ht="15.75" hidden="1"/>
    <row r="960" ht="15.75" hidden="1"/>
    <row r="961" ht="15.75" hidden="1"/>
    <row r="962" ht="15.75" hidden="1"/>
    <row r="963" ht="15.75" hidden="1"/>
    <row r="964" ht="15.75" hidden="1"/>
    <row r="965" ht="15.75" hidden="1"/>
    <row r="966" ht="15.75" hidden="1"/>
    <row r="967" ht="15.75" hidden="1"/>
    <row r="968" ht="15.75" hidden="1"/>
    <row r="969" ht="15.75" hidden="1"/>
    <row r="970" ht="15.75" hidden="1"/>
    <row r="971" ht="15.75" hidden="1"/>
    <row r="972" ht="15.75" hidden="1"/>
    <row r="973" ht="15.75" hidden="1"/>
    <row r="974" ht="15.75" hidden="1"/>
    <row r="975" ht="15.75" hidden="1"/>
    <row r="976" ht="15.75" hidden="1"/>
    <row r="977" ht="15.75" hidden="1"/>
    <row r="978" ht="15.75" hidden="1"/>
    <row r="979" ht="15.75" hidden="1"/>
    <row r="980" ht="15.75" hidden="1"/>
    <row r="981" ht="15.75" hidden="1"/>
    <row r="982" ht="15.75" hidden="1"/>
    <row r="983" ht="15.75" hidden="1"/>
    <row r="984" ht="15.75" hidden="1"/>
    <row r="985" ht="15.75" hidden="1"/>
    <row r="986" ht="15.75" hidden="1"/>
    <row r="987" ht="15.75" hidden="1"/>
    <row r="988" ht="15.75" hidden="1"/>
    <row r="989" ht="15.75" hidden="1"/>
    <row r="990" ht="15.75" hidden="1"/>
    <row r="991" ht="15.75" hidden="1"/>
    <row r="992" ht="15.75" hidden="1"/>
    <row r="993" ht="15.75" hidden="1"/>
    <row r="994" ht="15.75" hidden="1"/>
    <row r="995" ht="15.75" hidden="1"/>
    <row r="996" ht="15.75" hidden="1"/>
    <row r="997" ht="15.75" hidden="1"/>
    <row r="998" ht="15.75" hidden="1"/>
    <row r="999" ht="15.75" hidden="1"/>
    <row r="1000" ht="15.75" hidden="1"/>
    <row r="1001" ht="15.75" hidden="1"/>
    <row r="1002" ht="15.75" hidden="1"/>
    <row r="1003" ht="15.75" hidden="1"/>
    <row r="1004" ht="15.75" hidden="1"/>
    <row r="1005" ht="15.75" hidden="1"/>
    <row r="1006" ht="15.75" hidden="1"/>
    <row r="1007" ht="15.75" hidden="1"/>
    <row r="1008" ht="15.75" hidden="1"/>
    <row r="1009" ht="15.75" hidden="1"/>
    <row r="1010" ht="15.75" hidden="1"/>
    <row r="1011" ht="15.75" hidden="1"/>
    <row r="1012" ht="15.75" hidden="1"/>
    <row r="1013" ht="15.75" hidden="1"/>
    <row r="1014" ht="15.75" hidden="1"/>
    <row r="1015" ht="15.75" hidden="1"/>
    <row r="1016" ht="15.75" hidden="1"/>
    <row r="1017" ht="15.75" hidden="1"/>
    <row r="1018" ht="15.75" hidden="1"/>
    <row r="1019" ht="15.75" hidden="1"/>
    <row r="1020" ht="15.75" hidden="1"/>
    <row r="1021" ht="15.75" hidden="1"/>
    <row r="1022" ht="15.75" hidden="1"/>
    <row r="1023" ht="15.75" hidden="1"/>
    <row r="1024" ht="15.75" hidden="1"/>
    <row r="1025" ht="15.75" hidden="1"/>
    <row r="1026" ht="15.75" hidden="1"/>
    <row r="1027" ht="15.75" hidden="1"/>
    <row r="1028" ht="15.75" hidden="1"/>
    <row r="1029" ht="15.75" hidden="1"/>
    <row r="1030" ht="15.75" hidden="1"/>
    <row r="1031" ht="15.75" hidden="1"/>
    <row r="1032" ht="15.75" hidden="1"/>
    <row r="1033" ht="15.75" hidden="1"/>
    <row r="1034" ht="15.75" hidden="1"/>
    <row r="1035" ht="15.75" hidden="1"/>
    <row r="1036" ht="15.75" hidden="1"/>
    <row r="1037" ht="15.75" hidden="1"/>
    <row r="1038" ht="15.75" hidden="1"/>
    <row r="1039" ht="15.75" hidden="1"/>
    <row r="1040" ht="15.75" hidden="1"/>
    <row r="1041" ht="15.75" hidden="1"/>
    <row r="1042" ht="15.75" hidden="1"/>
    <row r="1043" ht="15.75" hidden="1"/>
    <row r="1044" ht="15.75" hidden="1"/>
    <row r="1045" ht="15.75" hidden="1"/>
    <row r="1046" ht="15.75" hidden="1"/>
    <row r="1047" ht="15.75" hidden="1"/>
    <row r="1048" ht="15.75" hidden="1"/>
    <row r="1049" ht="15.75" hidden="1"/>
    <row r="1050" ht="15.75" hidden="1"/>
    <row r="1051" ht="15.75" hidden="1"/>
    <row r="1052" ht="15.75" hidden="1"/>
    <row r="1053" ht="15.75" hidden="1"/>
    <row r="1054" ht="15.75" hidden="1"/>
    <row r="1055" ht="15.75" hidden="1"/>
    <row r="1056" ht="15.75" hidden="1"/>
    <row r="1057" ht="15.75" hidden="1"/>
    <row r="1058" ht="15.75" hidden="1"/>
    <row r="1059" ht="15.75" hidden="1"/>
    <row r="1060" ht="15.75" hidden="1"/>
    <row r="1061" ht="15.75" hidden="1"/>
    <row r="1062" ht="15.75" hidden="1"/>
    <row r="1063" ht="15.75" hidden="1"/>
    <row r="1064" ht="15.75" hidden="1"/>
    <row r="1065" ht="15.75" hidden="1"/>
    <row r="1066" ht="15.75" hidden="1"/>
    <row r="1067" ht="15.75" hidden="1"/>
    <row r="1068" ht="15.75" hidden="1"/>
    <row r="1069" ht="15.75" hidden="1"/>
    <row r="1070" ht="15.75" hidden="1"/>
    <row r="1071" ht="15.75" hidden="1"/>
    <row r="1072" ht="15.75" hidden="1"/>
    <row r="1073" ht="15.75" hidden="1"/>
    <row r="1074" ht="15.75" hidden="1"/>
    <row r="1075" ht="15.75" hidden="1"/>
    <row r="1076" ht="15.75" hidden="1"/>
    <row r="1077" ht="15.75" hidden="1"/>
    <row r="1078" ht="15.75" hidden="1"/>
    <row r="1079" ht="15.75" hidden="1"/>
    <row r="1080" ht="15.75" hidden="1"/>
    <row r="1081" ht="15.75" hidden="1"/>
    <row r="1082" ht="15.75" hidden="1"/>
    <row r="1083" ht="15.75" hidden="1"/>
    <row r="1084" ht="15.75" hidden="1"/>
    <row r="1085" ht="15.75" hidden="1"/>
    <row r="1086" ht="15.75" hidden="1"/>
    <row r="1087" ht="15.75" hidden="1"/>
    <row r="1088" ht="15.75" hidden="1"/>
    <row r="1089" ht="15.75" hidden="1"/>
    <row r="1090" ht="15.75" hidden="1"/>
    <row r="1091" ht="15.75" hidden="1"/>
    <row r="1092" ht="15.75" hidden="1"/>
    <row r="1093" ht="15.75" hidden="1"/>
    <row r="1094" ht="15.75" hidden="1"/>
    <row r="1095" ht="15.75" hidden="1"/>
    <row r="1096" ht="15.75" hidden="1"/>
    <row r="1097" ht="15.75" hidden="1"/>
    <row r="1098" ht="15.75" hidden="1"/>
    <row r="1099" ht="15.75" hidden="1"/>
    <row r="1100" ht="15.75" hidden="1"/>
    <row r="1101" ht="15.75" hidden="1"/>
    <row r="1102" ht="15.75" hidden="1"/>
    <row r="1103" ht="15.75" hidden="1"/>
    <row r="1104" ht="15.75" hidden="1"/>
    <row r="1105" ht="15.75" hidden="1"/>
    <row r="1106" ht="15.75" hidden="1"/>
    <row r="1107" ht="15.75" hidden="1"/>
    <row r="1108" ht="15.75" hidden="1"/>
    <row r="1109" ht="15.75" hidden="1"/>
    <row r="1110" ht="15.75" hidden="1"/>
    <row r="1111" ht="15.75" hidden="1"/>
    <row r="1112" ht="15.75" hidden="1"/>
    <row r="1113" ht="15.75" hidden="1"/>
    <row r="1114" ht="15.75" hidden="1"/>
    <row r="1115" ht="15.75" hidden="1"/>
    <row r="1116" ht="15.75" hidden="1"/>
    <row r="1117" ht="15.75" hidden="1"/>
    <row r="1118" ht="15.75" hidden="1"/>
    <row r="1119" ht="15.75" hidden="1"/>
    <row r="1120" ht="15.75" hidden="1"/>
    <row r="1121" ht="15.75" hidden="1"/>
    <row r="1122" ht="15.75" hidden="1"/>
    <row r="1123" ht="15.75" hidden="1"/>
    <row r="1124" ht="15.75" hidden="1"/>
    <row r="1125" ht="15.75" hidden="1"/>
    <row r="1126" ht="15.75" hidden="1"/>
    <row r="1127" ht="15.75" hidden="1"/>
    <row r="1128" ht="15.75" hidden="1"/>
    <row r="1129" ht="15.75" hidden="1"/>
    <row r="1130" ht="15.75" hidden="1"/>
    <row r="1131" ht="15.75" hidden="1"/>
    <row r="1132" ht="15.75" hidden="1"/>
    <row r="1133" ht="15.75" hidden="1"/>
    <row r="1134" ht="15.75" hidden="1"/>
    <row r="1135" ht="15.75" hidden="1"/>
    <row r="1136" ht="15.75" hidden="1"/>
    <row r="1137" ht="15.75" hidden="1"/>
    <row r="1138" ht="15.75" hidden="1"/>
    <row r="1139" ht="15.75" hidden="1"/>
    <row r="1140" ht="15.75" hidden="1"/>
    <row r="1141" ht="15.75" hidden="1"/>
    <row r="1142" ht="15.75" hidden="1"/>
    <row r="1143" ht="15.75" hidden="1"/>
    <row r="1144" ht="15.75" hidden="1"/>
    <row r="1145" ht="15.75" hidden="1"/>
    <row r="1146" ht="15.75" hidden="1"/>
    <row r="1147" ht="15.75" hidden="1"/>
    <row r="1148" ht="15.75" hidden="1"/>
    <row r="1149" ht="15.75" hidden="1"/>
    <row r="1150" ht="15.75" hidden="1"/>
    <row r="1151" ht="15.75" hidden="1"/>
    <row r="1152" ht="15.75" hidden="1"/>
    <row r="1153" ht="15.75" hidden="1"/>
    <row r="1154" ht="15.75" hidden="1"/>
    <row r="1155" ht="15.75" hidden="1"/>
    <row r="1156" ht="15.75" hidden="1"/>
    <row r="1157" ht="15.75" hidden="1"/>
    <row r="1158" ht="15.75" hidden="1"/>
    <row r="1159" ht="15.75" hidden="1"/>
    <row r="1160" ht="15.75" hidden="1"/>
    <row r="1161" ht="15.75" hidden="1"/>
    <row r="1162" ht="15.75" hidden="1"/>
    <row r="1163" ht="15.75" hidden="1"/>
    <row r="1164" ht="15.75" hidden="1"/>
    <row r="1165" ht="15.75" hidden="1"/>
    <row r="1166" ht="15.75" hidden="1"/>
    <row r="1167" ht="15.75" hidden="1"/>
    <row r="1168" ht="15.75" hidden="1"/>
    <row r="1169" ht="15.75" hidden="1"/>
    <row r="1170" ht="15.75" hidden="1"/>
    <row r="1171" ht="15.75" hidden="1"/>
    <row r="1172" ht="15.75" hidden="1"/>
    <row r="1173" ht="15.75" hidden="1"/>
    <row r="1174" ht="15.75" hidden="1"/>
    <row r="1175" ht="15.75" hidden="1"/>
    <row r="1176" ht="15.75" hidden="1"/>
    <row r="1177" ht="15.75" hidden="1"/>
    <row r="1178" ht="15.75" hidden="1"/>
    <row r="1179" ht="15.75" hidden="1"/>
    <row r="1180" ht="15.75" hidden="1"/>
    <row r="1181" ht="15.75" hidden="1"/>
    <row r="1182" ht="15.75" hidden="1"/>
    <row r="1183" ht="15.75" hidden="1"/>
    <row r="1184" ht="15.75" hidden="1"/>
    <row r="1185" ht="15.75" hidden="1"/>
    <row r="1186" ht="15.75" hidden="1"/>
    <row r="1187" ht="15.75" hidden="1"/>
    <row r="1188" ht="15.75" hidden="1"/>
    <row r="1189" ht="15.75" hidden="1"/>
    <row r="1190" ht="15.75" hidden="1"/>
    <row r="1191" ht="15.75" hidden="1"/>
    <row r="1192" ht="15.75" hidden="1"/>
    <row r="1193" ht="15.75" hidden="1"/>
    <row r="1194" ht="15.75" hidden="1"/>
    <row r="1195" ht="15.75" hidden="1"/>
    <row r="1196" ht="15.75" hidden="1"/>
    <row r="1197" ht="15.75" hidden="1"/>
    <row r="1198" ht="15.75" hidden="1"/>
    <row r="1199" ht="15.75" hidden="1"/>
    <row r="1200" ht="15.75" hidden="1"/>
    <row r="1201" ht="15.75" hidden="1"/>
    <row r="1202" ht="15.75" hidden="1"/>
    <row r="1203" ht="15.75" hidden="1"/>
    <row r="1204" ht="15.75" hidden="1"/>
    <row r="1205" ht="15.75" hidden="1"/>
    <row r="1206" ht="15.75" hidden="1"/>
    <row r="1207" ht="15.75" hidden="1"/>
    <row r="1208" ht="15.75" hidden="1"/>
    <row r="1209" ht="15.75" hidden="1"/>
    <row r="1210" ht="15.75" hidden="1"/>
    <row r="1211" ht="15.75" hidden="1"/>
    <row r="1212" ht="15.75" hidden="1"/>
    <row r="1213" ht="15.75" hidden="1"/>
    <row r="1214" ht="15.75" hidden="1"/>
    <row r="1215" ht="15.75" hidden="1"/>
    <row r="1216" ht="15.75" hidden="1"/>
    <row r="1217" ht="15.75" hidden="1"/>
    <row r="1218" ht="15.75" hidden="1"/>
    <row r="1219" ht="15.75" hidden="1"/>
    <row r="1220" ht="15.75" hidden="1"/>
    <row r="1221" ht="15.75" hidden="1"/>
    <row r="1222" ht="15.75" hidden="1"/>
    <row r="1223" ht="15.75" hidden="1"/>
    <row r="1224" ht="15.75" hidden="1"/>
    <row r="1225" ht="15.75" hidden="1"/>
    <row r="1226" ht="15.75" hidden="1"/>
    <row r="1227" ht="15.75" hidden="1"/>
    <row r="1228" ht="15.75" hidden="1"/>
    <row r="1229" ht="15.75" hidden="1"/>
    <row r="1230" ht="15.75" hidden="1"/>
    <row r="1231" ht="15.75" hidden="1"/>
    <row r="1232" ht="15.75" hidden="1"/>
    <row r="1233" ht="15.75" hidden="1"/>
    <row r="1234" ht="15.75" hidden="1"/>
    <row r="1235" ht="15.75" hidden="1"/>
    <row r="1236" ht="15.75" hidden="1"/>
    <row r="1237" ht="15.75" hidden="1"/>
    <row r="1238" ht="15.75" hidden="1"/>
    <row r="1239" ht="15.75" hidden="1"/>
    <row r="1240" ht="15.75" hidden="1"/>
    <row r="1241" ht="15.75" hidden="1"/>
    <row r="1242" ht="15.75" hidden="1"/>
    <row r="1243" ht="15.75" hidden="1"/>
    <row r="1244" ht="15.75" hidden="1"/>
    <row r="1245" ht="15.75" hidden="1"/>
    <row r="1246" ht="15.75" hidden="1"/>
    <row r="1247" ht="15.75" hidden="1"/>
    <row r="1248" ht="15.75" hidden="1"/>
    <row r="1249" ht="15.75" hidden="1"/>
    <row r="1250" ht="15.75" hidden="1"/>
    <row r="1251" ht="15.75" hidden="1"/>
    <row r="1252" ht="15.75" hidden="1"/>
    <row r="1253" ht="15.75" hidden="1"/>
    <row r="1254" ht="15.75" hidden="1"/>
    <row r="1255" ht="15.75" hidden="1"/>
    <row r="1256" ht="15.75" hidden="1"/>
    <row r="1257" ht="15.75" hidden="1"/>
    <row r="1258" ht="15.75" hidden="1"/>
    <row r="1259" ht="15.75" hidden="1"/>
    <row r="1260" ht="15.75" hidden="1"/>
    <row r="1261" ht="15.75" hidden="1"/>
    <row r="1262" ht="15.75" hidden="1"/>
    <row r="1263" ht="15.75" hidden="1"/>
    <row r="1264" ht="15.75" hidden="1"/>
    <row r="1265" ht="15.75" hidden="1"/>
    <row r="1266" ht="15.75" hidden="1"/>
    <row r="1267" ht="15.75" hidden="1"/>
    <row r="1268" ht="15.75" hidden="1"/>
    <row r="1269" ht="15.75" hidden="1"/>
    <row r="1270" ht="15.75" hidden="1"/>
    <row r="1271" ht="15.75" hidden="1"/>
    <row r="1272" ht="15.75" hidden="1"/>
    <row r="1273" ht="15.75" hidden="1"/>
    <row r="1274" ht="15.75" hidden="1"/>
    <row r="1275" ht="15.75" hidden="1"/>
    <row r="1276" ht="15.75" hidden="1"/>
    <row r="1277" ht="15.75" hidden="1"/>
    <row r="1278" ht="15.75" hidden="1"/>
    <row r="1279" ht="15.75" hidden="1"/>
    <row r="1280" ht="15.75" hidden="1"/>
    <row r="1281" ht="15.75" hidden="1"/>
    <row r="1282" ht="15.75" hidden="1"/>
    <row r="1283" ht="15.75" hidden="1"/>
    <row r="1284" ht="15.75" hidden="1"/>
    <row r="1285" ht="15.75" hidden="1"/>
    <row r="1286" ht="15.75" hidden="1"/>
    <row r="1287" ht="15.75" hidden="1"/>
    <row r="1288" ht="15.75" hidden="1"/>
    <row r="1289" ht="15.75" hidden="1"/>
    <row r="1290" ht="15.75" hidden="1"/>
    <row r="1291" ht="15.75" hidden="1"/>
    <row r="1292" ht="15.75" hidden="1"/>
    <row r="1293" ht="15.75" hidden="1"/>
    <row r="1294" ht="15.75" hidden="1"/>
    <row r="1295" ht="15.75" hidden="1"/>
    <row r="1296" ht="15.75" hidden="1"/>
    <row r="1297" ht="15.75" hidden="1"/>
    <row r="1298" ht="15.75" hidden="1"/>
    <row r="1299" ht="15.75" hidden="1"/>
    <row r="1300" ht="15.75" hidden="1"/>
    <row r="1301" ht="15.75" hidden="1"/>
    <row r="1302" ht="15.75" hidden="1"/>
    <row r="1303" ht="15.75" hidden="1"/>
    <row r="1304" ht="15.75" hidden="1"/>
    <row r="1305" ht="15.75" hidden="1"/>
    <row r="1306" ht="15.75" hidden="1"/>
    <row r="1307" ht="15.75" hidden="1"/>
    <row r="1308" ht="15.75" hidden="1"/>
    <row r="1309" ht="15.75" hidden="1"/>
    <row r="1310" ht="15.75" hidden="1"/>
    <row r="1311" ht="15.75" hidden="1"/>
    <row r="1312" ht="15.75" hidden="1"/>
    <row r="1313" ht="15.75" hidden="1"/>
    <row r="1314" ht="15.75" hidden="1"/>
    <row r="1315" ht="15.75" hidden="1"/>
    <row r="1316" ht="15.75" hidden="1"/>
    <row r="1317" ht="15.75" hidden="1"/>
    <row r="1318" ht="15.75" hidden="1"/>
    <row r="1319" ht="15.75" hidden="1"/>
    <row r="1320" ht="15.75" hidden="1"/>
    <row r="1321" ht="15.75" hidden="1"/>
    <row r="1322" ht="15.75" hidden="1"/>
    <row r="1323" ht="15.75" hidden="1"/>
    <row r="1324" ht="15.75" hidden="1"/>
    <row r="1325" ht="15.75" hidden="1"/>
    <row r="1326" ht="15.75" hidden="1"/>
    <row r="1327" ht="15.75" hidden="1"/>
    <row r="1328" ht="15.75" hidden="1"/>
    <row r="1329" ht="15.75" hidden="1"/>
    <row r="1330" ht="15.75" hidden="1"/>
    <row r="1331" ht="15.75" hidden="1"/>
    <row r="1332" ht="15.75" hidden="1"/>
    <row r="1333" ht="15.75" hidden="1"/>
    <row r="1334" ht="15.75" hidden="1"/>
    <row r="1335" ht="15.75" hidden="1"/>
    <row r="1336" ht="15.75" hidden="1"/>
    <row r="1337" ht="15.75" hidden="1"/>
    <row r="1338" ht="15.75" hidden="1"/>
    <row r="1339" ht="15.75" hidden="1"/>
    <row r="1340" ht="15.75" hidden="1"/>
    <row r="1341" ht="15.75" hidden="1"/>
    <row r="1342" ht="15.75" hidden="1"/>
    <row r="1343" ht="15.75" hidden="1"/>
    <row r="1344" ht="15.75" hidden="1"/>
    <row r="1345" ht="15.75" hidden="1"/>
    <row r="1346" ht="15.75" hidden="1"/>
    <row r="1347" ht="15.75" hidden="1"/>
    <row r="1348" ht="15.75" hidden="1"/>
    <row r="1349" ht="15.75" hidden="1"/>
    <row r="1350" ht="15.75" hidden="1"/>
    <row r="1351" ht="15.75" hidden="1"/>
    <row r="1352" ht="15.75" hidden="1"/>
    <row r="1353" ht="15.75" hidden="1"/>
    <row r="1354" ht="15.75" hidden="1"/>
    <row r="1355" ht="15.75" hidden="1"/>
    <row r="1356" ht="15.75" hidden="1"/>
    <row r="1357" ht="15.75" hidden="1"/>
    <row r="1358" ht="15.75" hidden="1"/>
    <row r="1359" ht="15.75" hidden="1"/>
    <row r="1360" ht="15.75" hidden="1"/>
    <row r="1361" ht="15.75" hidden="1"/>
    <row r="1362" ht="15.75" hidden="1"/>
    <row r="1363" ht="15.75" hidden="1"/>
    <row r="1364" ht="15.75" hidden="1"/>
    <row r="1365" ht="15.75" hidden="1"/>
    <row r="1366" ht="15.75" hidden="1"/>
    <row r="1367" ht="15.75" hidden="1"/>
    <row r="1368" ht="15.75" hidden="1"/>
    <row r="1369" ht="15.75" hidden="1"/>
    <row r="1370" ht="15.75" hidden="1"/>
    <row r="1371" ht="15.75" hidden="1"/>
    <row r="1372" ht="15.75" hidden="1"/>
    <row r="1373" ht="15.75" hidden="1"/>
    <row r="1374" ht="15.75" hidden="1"/>
    <row r="1375" ht="15.75" hidden="1"/>
    <row r="1376" ht="15.75" hidden="1"/>
    <row r="1377" ht="15.75" hidden="1"/>
    <row r="1378" ht="15.75" hidden="1"/>
    <row r="1379" ht="15.75" hidden="1"/>
    <row r="1380" ht="15.75" hidden="1"/>
    <row r="1381" ht="15.75" hidden="1"/>
    <row r="1382" ht="15.75" hidden="1"/>
    <row r="1383" ht="15.75" hidden="1"/>
    <row r="1384" ht="15.75" hidden="1"/>
    <row r="1385" ht="15.75" hidden="1"/>
    <row r="1386" ht="15.75" hidden="1"/>
    <row r="1387" ht="15.75" hidden="1"/>
    <row r="1388" ht="15.75" hidden="1"/>
    <row r="1389" ht="15.75" hidden="1"/>
    <row r="1390" ht="15.75" hidden="1"/>
    <row r="1391" ht="15.75" hidden="1"/>
    <row r="1392" ht="15.75" hidden="1"/>
    <row r="1393" ht="15.75" hidden="1"/>
    <row r="1394" ht="15.75" hidden="1"/>
    <row r="1395" ht="15.75" hidden="1"/>
    <row r="1396" ht="15.75" hidden="1"/>
    <row r="1397" ht="15.75" hidden="1"/>
    <row r="1398" ht="15.75" hidden="1"/>
    <row r="1399" ht="15.75" hidden="1"/>
    <row r="1400" ht="15.75" hidden="1"/>
    <row r="1401" ht="15.75" hidden="1"/>
    <row r="1402" ht="15.75" hidden="1"/>
    <row r="1403" ht="15.75" hidden="1"/>
    <row r="1404" ht="15.75" hidden="1"/>
    <row r="1405" ht="15.75" hidden="1"/>
    <row r="1406" ht="15.75" hidden="1"/>
    <row r="1407" ht="15.75" hidden="1"/>
    <row r="1408" ht="15.75" hidden="1"/>
    <row r="1409" ht="15.75" hidden="1"/>
    <row r="1410" ht="15.75" hidden="1"/>
    <row r="1411" ht="15.75" hidden="1"/>
    <row r="1412" ht="15.75" hidden="1"/>
    <row r="1413" ht="15.75" hidden="1"/>
    <row r="1414" ht="15.75" hidden="1"/>
    <row r="1415" ht="15.75" hidden="1"/>
    <row r="1416" ht="15.75" hidden="1"/>
    <row r="1417" ht="15.75" hidden="1"/>
    <row r="1418" ht="15.75" hidden="1"/>
    <row r="1419" ht="15.75" hidden="1"/>
    <row r="1420" ht="15.75" hidden="1"/>
    <row r="1421" ht="15.75" hidden="1"/>
    <row r="1422" ht="15.75" hidden="1"/>
    <row r="1423" ht="15.75" hidden="1"/>
    <row r="1424" ht="15.75" hidden="1"/>
    <row r="1425" ht="15.75" hidden="1"/>
    <row r="1426" ht="15.75" hidden="1"/>
    <row r="1427" ht="15.75" hidden="1"/>
    <row r="1428" ht="15.75" hidden="1"/>
    <row r="1429" ht="15.75" hidden="1"/>
    <row r="1430" ht="15.75" hidden="1"/>
    <row r="1431" ht="15.75" hidden="1"/>
    <row r="1432" ht="15.75" hidden="1"/>
    <row r="1433" ht="15.75" hidden="1"/>
    <row r="1434" ht="15.75" hidden="1"/>
    <row r="1435" ht="15.75" hidden="1"/>
    <row r="1436" ht="15.75" hidden="1"/>
    <row r="1437" ht="15.75" hidden="1"/>
    <row r="1438" ht="15.75" hidden="1"/>
    <row r="1439" ht="15.75" hidden="1"/>
    <row r="1440" ht="15.75" hidden="1"/>
    <row r="1441" ht="15.75" hidden="1"/>
    <row r="1442" ht="15.75" hidden="1"/>
    <row r="1443" ht="15.75" hidden="1"/>
    <row r="1444" ht="15.75" hidden="1"/>
    <row r="1445" ht="15.75" hidden="1"/>
    <row r="1446" ht="15.75" hidden="1"/>
    <row r="1447" ht="15.75" hidden="1"/>
    <row r="1448" ht="15.75" hidden="1"/>
    <row r="1449" ht="15.75" hidden="1"/>
    <row r="1450" ht="15.75" hidden="1"/>
    <row r="1451" ht="15.75" hidden="1"/>
    <row r="1452" ht="15.75" hidden="1"/>
    <row r="1453" ht="15.75" hidden="1"/>
    <row r="1454" ht="15.75" hidden="1"/>
    <row r="1455" ht="15.75" hidden="1"/>
    <row r="1456" ht="15.75" hidden="1"/>
    <row r="1457" ht="15.75" hidden="1"/>
    <row r="1458" ht="15.75" hidden="1"/>
    <row r="1459" ht="15.75" hidden="1"/>
    <row r="1460" ht="15.75" hidden="1"/>
    <row r="1461" ht="15.75" hidden="1"/>
    <row r="1462" ht="15.75" hidden="1"/>
    <row r="1463" ht="15.75" hidden="1"/>
    <row r="1464" ht="15.75" hidden="1"/>
    <row r="1465" ht="15.75" hidden="1"/>
    <row r="1466" ht="15.75" hidden="1"/>
    <row r="1467" ht="15.75" hidden="1"/>
    <row r="1468" ht="15.75" hidden="1"/>
    <row r="1469" ht="15.75" hidden="1"/>
    <row r="1470" ht="15.75" hidden="1"/>
    <row r="1471" ht="15.75" hidden="1"/>
    <row r="1472" ht="15.75" hidden="1"/>
    <row r="1473" ht="15.75" hidden="1"/>
    <row r="1474" ht="15.75" hidden="1"/>
    <row r="1475" ht="15.75" hidden="1"/>
    <row r="1476" ht="15.75" hidden="1"/>
    <row r="1477" ht="15.75" hidden="1"/>
    <row r="1478" ht="15.75" hidden="1"/>
    <row r="1479" ht="15.75" hidden="1"/>
    <row r="1480" ht="15.75" hidden="1"/>
    <row r="1481" ht="15.75" hidden="1"/>
    <row r="1482" ht="15.75" hidden="1"/>
    <row r="1483" ht="15.75" hidden="1"/>
    <row r="1484" ht="15.75" hidden="1"/>
    <row r="1485" ht="15.75" hidden="1"/>
    <row r="1486" ht="15.75" hidden="1"/>
    <row r="1487" ht="15.75" hidden="1"/>
    <row r="1488" ht="15.75" hidden="1"/>
    <row r="1489" ht="15.75" hidden="1"/>
    <row r="1490" ht="15.75" hidden="1"/>
    <row r="1491" ht="15.75" hidden="1"/>
    <row r="1492" ht="15.75" hidden="1"/>
    <row r="1493" ht="15.75" hidden="1"/>
    <row r="1494" ht="15.75" hidden="1"/>
    <row r="1495" ht="15.75" hidden="1"/>
    <row r="1496" ht="15.75" hidden="1"/>
    <row r="1497" ht="15.75" hidden="1"/>
    <row r="1498" ht="15.75" hidden="1"/>
    <row r="1499" ht="15.75" hidden="1"/>
    <row r="1500" ht="15.75" hidden="1"/>
    <row r="1501" ht="15.75" hidden="1"/>
    <row r="1502" ht="15.75" hidden="1"/>
    <row r="1503" ht="15.75" hidden="1"/>
    <row r="1504" ht="15.75" hidden="1"/>
    <row r="1505" ht="15.75" hidden="1"/>
    <row r="1506" ht="15.75" hidden="1"/>
    <row r="1507" ht="15.75" hidden="1"/>
    <row r="1508" ht="15.75" hidden="1"/>
    <row r="1509" ht="15.75" hidden="1"/>
    <row r="1510" ht="15.75" hidden="1"/>
    <row r="1511" ht="15.75" hidden="1"/>
    <row r="1512" ht="15.75" hidden="1"/>
    <row r="1513" ht="15.75" hidden="1"/>
    <row r="1514" ht="15.75" hidden="1"/>
    <row r="1515" ht="15.75" hidden="1"/>
    <row r="1516" ht="15.75" hidden="1"/>
    <row r="1517" ht="15.75" hidden="1"/>
    <row r="1518" ht="15.75" hidden="1"/>
    <row r="1519" ht="15.75" hidden="1"/>
    <row r="1520" ht="15.75" hidden="1"/>
    <row r="1521" ht="15.75" hidden="1"/>
    <row r="1522" ht="15.75" hidden="1"/>
    <row r="1523" ht="15.75" hidden="1"/>
    <row r="1524" ht="15.75" hidden="1"/>
    <row r="1525" ht="15.75" hidden="1"/>
    <row r="1526" ht="15.75" hidden="1"/>
    <row r="1527" ht="15.75" hidden="1"/>
    <row r="1528" ht="15.75" hidden="1"/>
    <row r="1529" ht="15.75" hidden="1"/>
    <row r="1530" ht="15.75" hidden="1"/>
    <row r="1531" ht="15.75" hidden="1"/>
    <row r="1532" ht="15.75" hidden="1"/>
    <row r="1533" ht="15.75" hidden="1"/>
    <row r="1534" ht="15.75" hidden="1"/>
    <row r="1535" ht="15.75" hidden="1"/>
    <row r="1536" ht="15.75" hidden="1"/>
    <row r="1537" ht="15.75" hidden="1"/>
    <row r="1538" ht="15.75" hidden="1"/>
    <row r="1539" ht="15.75" hidden="1"/>
    <row r="1540" ht="15.75" hidden="1"/>
    <row r="1541" ht="15.75" hidden="1"/>
    <row r="1542" ht="15.75" hidden="1"/>
    <row r="1543" ht="15.75" hidden="1"/>
    <row r="1544" ht="15.75" hidden="1"/>
    <row r="1545" ht="15.75" hidden="1"/>
    <row r="1546" ht="15.75" hidden="1"/>
    <row r="1547" ht="15.75" hidden="1"/>
    <row r="1548" ht="15.75" hidden="1"/>
    <row r="1549" ht="15.75" hidden="1"/>
    <row r="1550" ht="15.75" hidden="1"/>
    <row r="1551" ht="15.75" hidden="1"/>
    <row r="1552" ht="15.75" hidden="1"/>
    <row r="1553" ht="15.75" hidden="1"/>
    <row r="1554" ht="15.75" hidden="1"/>
    <row r="1555" ht="15.75" hidden="1"/>
    <row r="1556" ht="15.75" hidden="1"/>
    <row r="1557" ht="15.75" hidden="1"/>
    <row r="1558" ht="15.75" hidden="1"/>
    <row r="1559" ht="15.75" hidden="1"/>
    <row r="1560" ht="15.75" hidden="1"/>
    <row r="1561" ht="15.75" hidden="1"/>
    <row r="1562" ht="15.75" hidden="1"/>
    <row r="1563" ht="15.75" hidden="1"/>
    <row r="1564" ht="15.75" hidden="1"/>
    <row r="1565" ht="15.75" hidden="1"/>
    <row r="1566" ht="15.75" hidden="1"/>
    <row r="1567" ht="15.75" hidden="1"/>
    <row r="1568" ht="15.75" hidden="1"/>
    <row r="1569" ht="15.75" hidden="1"/>
    <row r="1570" ht="15.75" hidden="1"/>
    <row r="1571" ht="15.75" hidden="1"/>
    <row r="1572" ht="15.75" hidden="1"/>
    <row r="1573" ht="15.75" hidden="1"/>
    <row r="1574" ht="15.75" hidden="1"/>
    <row r="1575" ht="15.75" hidden="1"/>
    <row r="1576" ht="15.75" hidden="1"/>
    <row r="1577" ht="15.75" hidden="1"/>
    <row r="1578" ht="15.75" hidden="1"/>
    <row r="1579" ht="15.75" hidden="1"/>
    <row r="1580" ht="15.75" hidden="1"/>
    <row r="1581" ht="15.75" hidden="1"/>
    <row r="1582" ht="15.75" hidden="1"/>
    <row r="1583" ht="15.75" hidden="1"/>
    <row r="1584" ht="15.75" hidden="1"/>
    <row r="1585" ht="15.75" hidden="1"/>
    <row r="1586" ht="15.75" hidden="1"/>
    <row r="1587" ht="15.75" hidden="1"/>
    <row r="1588" ht="15.75" hidden="1"/>
    <row r="1589" ht="15.75" hidden="1"/>
    <row r="1590" ht="15.75" hidden="1"/>
    <row r="1591" ht="15.75" hidden="1"/>
    <row r="1592" ht="15.75" hidden="1"/>
    <row r="1593" ht="15.75" hidden="1"/>
    <row r="1594" ht="15.75" hidden="1"/>
    <row r="1595" ht="15.75" hidden="1"/>
    <row r="1596" ht="15.75" hidden="1"/>
    <row r="1597" ht="15.75" hidden="1"/>
    <row r="1598" ht="15.75" hidden="1"/>
    <row r="1599" ht="15.75" hidden="1"/>
    <row r="1600" ht="15.75" hidden="1"/>
    <row r="1601" ht="15.75" hidden="1"/>
    <row r="1602" ht="15.75" hidden="1"/>
    <row r="1603" ht="15.75" hidden="1"/>
    <row r="1604" ht="15.75" hidden="1"/>
    <row r="1605" ht="15.75" hidden="1"/>
    <row r="1606" ht="15.75" hidden="1"/>
    <row r="1607" ht="15.75" hidden="1"/>
    <row r="1608" ht="15.75" hidden="1"/>
    <row r="1609" ht="15.75" hidden="1"/>
    <row r="1610" ht="15.75" hidden="1"/>
    <row r="1611" ht="15.75" hidden="1"/>
    <row r="1612" ht="15.75" hidden="1"/>
    <row r="1613" ht="15.75" hidden="1"/>
    <row r="1614" ht="15.75" hidden="1"/>
    <row r="1615" ht="15.75" hidden="1"/>
    <row r="1616" ht="15.75" hidden="1"/>
    <row r="1617" ht="15.75" hidden="1"/>
    <row r="1618" ht="15.75" hidden="1"/>
    <row r="1619" ht="15.75" hidden="1"/>
    <row r="1620" ht="15.75" hidden="1"/>
    <row r="1621" ht="15.75" hidden="1"/>
    <row r="1622" ht="15.75" hidden="1"/>
    <row r="1623" ht="15.75" hidden="1"/>
    <row r="1624" ht="15.75" hidden="1"/>
    <row r="1625" ht="15.75" hidden="1"/>
    <row r="1626" ht="15.75" hidden="1"/>
    <row r="1627" ht="15.75" hidden="1"/>
    <row r="1628" ht="15.75" hidden="1"/>
    <row r="1629" ht="15.75" hidden="1"/>
    <row r="1630" ht="15.75" hidden="1"/>
    <row r="1631" ht="15.75" hidden="1"/>
    <row r="1632" ht="15.75" hidden="1"/>
    <row r="1633" ht="15.75" hidden="1"/>
    <row r="1634" ht="15.75" hidden="1"/>
    <row r="1635" ht="15.75" hidden="1"/>
    <row r="1636" ht="15.75" hidden="1"/>
    <row r="1637" ht="15.75" hidden="1"/>
    <row r="1638" ht="15.75" hidden="1"/>
    <row r="1639" ht="15.75" hidden="1"/>
    <row r="1640" ht="15.75" hidden="1"/>
    <row r="1641" ht="15.75" hidden="1"/>
    <row r="1642" ht="15.75" hidden="1"/>
    <row r="1643" ht="15.75" hidden="1"/>
    <row r="1644" ht="15.75" hidden="1"/>
    <row r="1645" ht="15.75" hidden="1"/>
    <row r="1646" ht="15.75" hidden="1"/>
    <row r="1647" ht="15.75" hidden="1"/>
    <row r="1648" ht="15.75" hidden="1"/>
    <row r="1649" ht="15.75" hidden="1"/>
    <row r="1650" ht="15.75" hidden="1"/>
    <row r="1651" ht="15.75" hidden="1"/>
    <row r="1652" ht="15.75" hidden="1"/>
    <row r="1653" ht="15.75" hidden="1"/>
    <row r="1654" ht="15.75" hidden="1"/>
    <row r="1655" ht="15.75" hidden="1"/>
    <row r="1656" ht="15.75" hidden="1"/>
    <row r="1657" ht="15.75" hidden="1"/>
    <row r="1658" ht="15.75" hidden="1"/>
    <row r="1659" ht="15.75" hidden="1"/>
    <row r="1660" ht="15.75" hidden="1"/>
    <row r="1661" ht="15.75" hidden="1"/>
    <row r="1662" ht="15.75" hidden="1"/>
    <row r="1663" ht="15.75" hidden="1"/>
    <row r="1664" ht="15.75" hidden="1"/>
    <row r="1665" ht="15.75" hidden="1"/>
    <row r="1666" ht="15.75" hidden="1"/>
    <row r="1667" ht="15.75" hidden="1"/>
    <row r="1668" ht="15.75" hidden="1"/>
    <row r="1669" ht="15.75" hidden="1"/>
    <row r="1670" ht="15.75" hidden="1"/>
    <row r="1671" ht="15.75" hidden="1"/>
    <row r="1672" ht="15.75" hidden="1"/>
    <row r="1673" ht="15.75" hidden="1"/>
    <row r="1674" ht="15.75" hidden="1"/>
    <row r="1675" ht="15.75" hidden="1"/>
    <row r="1676" ht="15.75" hidden="1"/>
    <row r="1677" ht="15.75" hidden="1"/>
    <row r="1678" ht="15.75" hidden="1"/>
    <row r="1679" ht="15.75" hidden="1"/>
    <row r="1680" ht="15.75" hidden="1"/>
    <row r="1681" ht="15.75" hidden="1"/>
    <row r="1682" ht="15.75" hidden="1"/>
    <row r="1683" ht="15.75" hidden="1"/>
    <row r="1684" ht="15.75" hidden="1"/>
    <row r="1685" ht="15.75" hidden="1"/>
    <row r="1686" ht="15.75" hidden="1"/>
    <row r="1687" ht="15.75" hidden="1"/>
    <row r="1688" ht="15.75" hidden="1"/>
    <row r="1689" ht="15.75" hidden="1"/>
    <row r="1690" ht="15.75" hidden="1"/>
    <row r="1691" ht="15.75" hidden="1"/>
    <row r="1692" ht="15.75" hidden="1"/>
    <row r="1693" ht="15.75" hidden="1"/>
    <row r="1694" ht="15.75" hidden="1"/>
    <row r="1695" ht="15.75" hidden="1"/>
    <row r="1696" ht="15.75" hidden="1"/>
    <row r="1697" ht="15.75" hidden="1"/>
    <row r="1698" ht="15.75" hidden="1"/>
    <row r="1699" ht="15.75" hidden="1"/>
    <row r="1700" ht="15.75" hidden="1"/>
    <row r="1701" ht="15.75" hidden="1"/>
    <row r="1702" ht="15.75" hidden="1"/>
    <row r="1703" ht="15.75" hidden="1"/>
    <row r="1704" ht="15.75" hidden="1"/>
    <row r="1705" ht="15.75" hidden="1"/>
    <row r="1706" ht="15.75" hidden="1"/>
    <row r="1707" ht="15.75" hidden="1"/>
    <row r="1708" ht="15.75" hidden="1"/>
    <row r="1709" ht="15.75" hidden="1"/>
    <row r="1710" ht="15.75" hidden="1"/>
    <row r="1711" ht="15.75" hidden="1"/>
    <row r="1712" ht="15.75" hidden="1"/>
    <row r="1713" ht="15.75" hidden="1"/>
    <row r="1714" ht="15.75" hidden="1"/>
    <row r="1715" ht="15.75" hidden="1"/>
    <row r="1716" ht="15.75" hidden="1"/>
    <row r="1717" ht="15.75" hidden="1"/>
    <row r="1718" ht="15.75" hidden="1"/>
    <row r="1719" ht="15.75" hidden="1"/>
    <row r="1720" ht="15.75" hidden="1"/>
    <row r="1721" ht="15.75" hidden="1"/>
    <row r="1722" ht="15.75" hidden="1"/>
    <row r="1723" ht="15.75" hidden="1"/>
    <row r="1724" ht="15.75" hidden="1"/>
    <row r="1725" ht="15.75" hidden="1"/>
    <row r="1726" ht="15.75" hidden="1"/>
    <row r="1727" ht="15.75" hidden="1"/>
    <row r="1728" ht="15.75" hidden="1"/>
    <row r="1729" ht="15.75" hidden="1"/>
    <row r="1730" ht="15.75" hidden="1"/>
    <row r="1731" ht="15.75" hidden="1"/>
    <row r="1732" ht="15.75" hidden="1"/>
    <row r="1733" ht="15.75" hidden="1"/>
    <row r="1734" ht="15.75" hidden="1"/>
    <row r="1735" ht="15.75" hidden="1"/>
    <row r="1736" ht="15.75" hidden="1"/>
    <row r="1737" ht="15.75" hidden="1"/>
    <row r="1738" ht="15.75" hidden="1"/>
    <row r="1739" ht="15.75" hidden="1"/>
    <row r="1740" ht="15.75" hidden="1"/>
    <row r="1741" ht="15.75" hidden="1"/>
    <row r="1742" ht="15.75" hidden="1"/>
    <row r="1743" ht="15.75" hidden="1"/>
    <row r="1744" ht="15.75" hidden="1"/>
    <row r="1745" ht="15.75" hidden="1"/>
    <row r="1746" ht="15.75" hidden="1"/>
    <row r="1747" ht="15.75" hidden="1"/>
    <row r="1748" ht="15.75" hidden="1"/>
    <row r="1749" ht="15.75" hidden="1"/>
    <row r="1750" ht="15.75" hidden="1"/>
    <row r="1751" ht="15.75" hidden="1"/>
    <row r="1752" ht="15.75" hidden="1"/>
    <row r="1753" ht="15.75" hidden="1"/>
    <row r="1754" ht="15.75" hidden="1"/>
    <row r="1755" ht="15.75" hidden="1"/>
    <row r="1756" ht="15.75" hidden="1"/>
    <row r="1757" ht="15.75" hidden="1"/>
    <row r="1758" ht="15.75" hidden="1"/>
    <row r="1759" ht="15.75" hidden="1"/>
    <row r="1760" ht="15.75" hidden="1"/>
    <row r="1761" ht="15.75" hidden="1"/>
    <row r="1762" ht="15.75" hidden="1"/>
    <row r="1763" ht="15.75" hidden="1"/>
    <row r="1764" ht="15.75" hidden="1"/>
    <row r="1765" ht="15.75" hidden="1"/>
    <row r="1766" ht="15.75" hidden="1"/>
    <row r="1767" ht="15.75" hidden="1"/>
    <row r="1768" ht="15.75" hidden="1"/>
    <row r="1769" ht="15.75" hidden="1"/>
    <row r="1770" ht="15.75" hidden="1"/>
    <row r="1771" ht="15.75" hidden="1"/>
    <row r="1772" ht="15.75" hidden="1"/>
    <row r="1773" ht="15.75" hidden="1"/>
    <row r="1774" ht="15.75" hidden="1"/>
    <row r="1775" ht="15.75" hidden="1"/>
    <row r="1776" ht="15.75" hidden="1"/>
    <row r="1777" ht="15.75" hidden="1"/>
    <row r="1778" ht="15.75" hidden="1"/>
    <row r="1779" ht="15.75" hidden="1"/>
    <row r="1780" ht="15.75" hidden="1"/>
    <row r="1781" ht="15.75" hidden="1"/>
    <row r="1782" ht="15.75" hidden="1"/>
    <row r="1783" ht="15.75" hidden="1"/>
    <row r="1784" ht="15.75" hidden="1"/>
    <row r="1785" ht="15.75" hidden="1"/>
    <row r="1786" ht="15.75" hidden="1"/>
    <row r="1787" ht="15.75" hidden="1"/>
    <row r="1788" ht="15.75" hidden="1"/>
    <row r="1789" ht="15.75" hidden="1"/>
    <row r="1790" ht="15.75" hidden="1"/>
    <row r="1791" ht="15.75" hidden="1"/>
    <row r="1792" ht="15.75" hidden="1"/>
    <row r="1793" ht="15.75" hidden="1"/>
    <row r="1794" ht="15.75" hidden="1"/>
    <row r="1795" ht="15.75" hidden="1"/>
    <row r="1796" ht="15.75" hidden="1"/>
    <row r="1797" ht="15.75" hidden="1"/>
    <row r="1798" ht="15.75" hidden="1"/>
    <row r="1799" ht="15.75" hidden="1"/>
    <row r="1800" ht="15.75" hidden="1"/>
    <row r="1801" ht="15.75" hidden="1"/>
    <row r="1802" ht="15.75" hidden="1"/>
    <row r="1803" ht="15.75" hidden="1"/>
    <row r="1804" ht="15.75" hidden="1"/>
    <row r="1805" ht="15.75" hidden="1"/>
    <row r="1806" ht="15.75" hidden="1"/>
    <row r="1807" ht="15.75" hidden="1"/>
    <row r="1808" ht="15.75" hidden="1"/>
    <row r="1809" ht="15.75" hidden="1"/>
    <row r="1810" ht="15.75" hidden="1"/>
    <row r="1811" ht="15.75" hidden="1"/>
    <row r="1812" ht="15.75" hidden="1"/>
    <row r="1813" ht="15.75" hidden="1"/>
    <row r="1814" ht="15.75" hidden="1"/>
    <row r="1815" ht="15.75" hidden="1"/>
    <row r="1816" ht="15.75" hidden="1"/>
    <row r="1817" ht="15.75" hidden="1"/>
    <row r="1818" ht="15.75" hidden="1"/>
    <row r="1819" ht="15.75" hidden="1"/>
    <row r="1820" ht="15.75" hidden="1"/>
    <row r="1821" ht="15.75" hidden="1"/>
    <row r="1822" ht="15.75" hidden="1"/>
    <row r="1823" ht="15.75" hidden="1"/>
    <row r="1824" ht="15.75" hidden="1"/>
    <row r="1825" ht="15.75" hidden="1"/>
    <row r="1826" ht="15.75" hidden="1"/>
    <row r="1827" ht="15.75" hidden="1"/>
    <row r="1828" ht="15.75" hidden="1"/>
    <row r="1829" ht="15.75" hidden="1"/>
    <row r="1830" ht="15.75" hidden="1"/>
    <row r="1831" ht="15.75" hidden="1"/>
    <row r="1832" ht="15.75" hidden="1"/>
    <row r="1833" ht="15.75" hidden="1"/>
    <row r="1834" ht="15.75" hidden="1"/>
    <row r="1835" ht="15.75" hidden="1"/>
    <row r="1836" ht="15.75" hidden="1"/>
    <row r="1837" ht="15.75" hidden="1"/>
    <row r="1838" ht="15.75" hidden="1"/>
    <row r="1839" ht="15.75" hidden="1"/>
    <row r="1840" ht="15.75" hidden="1"/>
    <row r="1841" ht="15.75" hidden="1"/>
    <row r="1842" ht="15.75" hidden="1"/>
    <row r="1843" ht="15.75" hidden="1"/>
    <row r="1844" ht="15.75" hidden="1"/>
    <row r="1845" ht="15.75" hidden="1"/>
    <row r="1846" ht="15.75" hidden="1"/>
    <row r="1847" ht="15.75" hidden="1"/>
    <row r="1848" ht="15.75" hidden="1"/>
    <row r="1849" ht="15.75" hidden="1"/>
    <row r="1850" ht="15.75" hidden="1"/>
    <row r="1851" ht="15.75" hidden="1"/>
    <row r="1852" ht="15.75" hidden="1"/>
    <row r="1853" ht="15.75" hidden="1"/>
    <row r="1854" ht="15.75" hidden="1"/>
    <row r="1855" ht="15.75" hidden="1"/>
    <row r="1856" ht="15.75" hidden="1"/>
    <row r="1857" ht="15.75" hidden="1"/>
    <row r="1858" ht="15.75" hidden="1"/>
    <row r="1859" ht="15.75" hidden="1"/>
    <row r="1860" ht="15.75" hidden="1"/>
    <row r="1861" ht="15.75" hidden="1"/>
    <row r="1862" ht="15.75" hidden="1"/>
    <row r="1863" ht="15.75" hidden="1"/>
    <row r="1864" ht="15.75" hidden="1"/>
    <row r="1865" ht="15.75" hidden="1"/>
    <row r="1866" ht="15.75" hidden="1"/>
    <row r="1867" ht="15.75" hidden="1"/>
    <row r="1868" ht="15.75" hidden="1"/>
    <row r="1869" ht="15.75" hidden="1"/>
    <row r="1870" ht="15.75" hidden="1"/>
    <row r="1871" ht="15.75" hidden="1"/>
    <row r="1872" ht="15.75" hidden="1"/>
    <row r="1873" ht="15.75" hidden="1"/>
    <row r="1874" ht="15.75" hidden="1"/>
    <row r="1875" ht="15.75" hidden="1"/>
    <row r="1876" ht="15.75" hidden="1"/>
    <row r="1877" ht="15.75" hidden="1"/>
    <row r="1878" ht="15.75" hidden="1"/>
    <row r="1879" ht="15.75" hidden="1"/>
    <row r="1880" ht="15.75" hidden="1"/>
    <row r="1881" ht="15.75" hidden="1"/>
    <row r="1882" ht="15.75" hidden="1"/>
    <row r="1883" ht="15.75" hidden="1"/>
    <row r="1884" ht="15.75" hidden="1"/>
    <row r="1885" ht="15.75" hidden="1"/>
    <row r="1886" ht="15.75" hidden="1"/>
    <row r="1887" ht="15.75" hidden="1"/>
    <row r="1888" ht="15.75" hidden="1"/>
    <row r="1889" ht="15.75" hidden="1"/>
    <row r="1890" ht="15.75" hidden="1"/>
    <row r="1891" ht="15.75" hidden="1"/>
    <row r="1892" ht="15.75" hidden="1"/>
    <row r="1893" ht="15.75" hidden="1"/>
    <row r="1894" ht="15.75" hidden="1"/>
    <row r="1895" ht="15.75" hidden="1"/>
    <row r="1896" ht="15.75" hidden="1"/>
    <row r="1897" ht="15.75" hidden="1"/>
    <row r="1898" ht="15.75" hidden="1"/>
    <row r="1899" ht="15.75" hidden="1"/>
    <row r="1900" ht="15.75" hidden="1"/>
    <row r="1901" ht="15.75" hidden="1"/>
    <row r="1902" ht="15.75" hidden="1"/>
    <row r="1903" ht="15.75" hidden="1"/>
    <row r="1904" ht="15.75" hidden="1"/>
    <row r="1905" ht="15.75" hidden="1"/>
    <row r="1906" ht="15.75" hidden="1"/>
    <row r="1907" ht="15.75" hidden="1"/>
    <row r="1908" ht="15.75" hidden="1"/>
    <row r="1909" ht="15.75" hidden="1"/>
    <row r="1910" ht="15.75" hidden="1"/>
    <row r="1911" ht="15.75" hidden="1"/>
    <row r="1912" ht="15.75" hidden="1"/>
    <row r="1913" ht="15.75" hidden="1"/>
    <row r="1914" ht="15.75" hidden="1"/>
    <row r="1915" ht="15.75" hidden="1"/>
    <row r="1916" ht="15.75" hidden="1"/>
    <row r="1917" ht="15.75" hidden="1"/>
    <row r="1918" ht="15.75" hidden="1"/>
    <row r="1919" ht="15.75" hidden="1"/>
    <row r="1920" ht="15.75" hidden="1"/>
    <row r="1921" ht="15.75" hidden="1"/>
    <row r="1922" ht="15.75" hidden="1"/>
    <row r="1923" ht="15.75" hidden="1"/>
    <row r="1924" ht="15.75" hidden="1"/>
    <row r="1925" ht="15.75" hidden="1"/>
    <row r="1926" ht="15.75" hidden="1"/>
    <row r="1927" ht="15.75" hidden="1"/>
    <row r="1928" ht="15.75" hidden="1"/>
    <row r="1929" ht="15.75" hidden="1"/>
    <row r="1930" ht="15.75" hidden="1"/>
    <row r="1931" ht="15.75" hidden="1"/>
    <row r="1932" ht="15.75" hidden="1"/>
    <row r="1933" ht="15.75" hidden="1"/>
    <row r="1934" ht="15.75" hidden="1"/>
    <row r="1935" ht="15.75" hidden="1"/>
    <row r="1936" ht="15.75" hidden="1"/>
    <row r="1937" ht="15.75" hidden="1"/>
    <row r="1938" ht="15.75" hidden="1"/>
    <row r="1939" ht="15.75" hidden="1"/>
    <row r="1940" ht="15.75" hidden="1"/>
    <row r="1941" ht="15.75" hidden="1"/>
    <row r="1942" ht="15.75" hidden="1"/>
    <row r="1943" ht="15.75" hidden="1"/>
    <row r="1944" ht="15.75" hidden="1"/>
    <row r="1945" ht="15.75" hidden="1"/>
    <row r="1946" ht="15.75" hidden="1"/>
    <row r="1947" ht="15.75" hidden="1"/>
    <row r="1948" ht="15.75" hidden="1"/>
    <row r="1949" ht="15.75" hidden="1"/>
    <row r="1950" ht="15.75" hidden="1"/>
    <row r="1951" ht="15.75" hidden="1"/>
    <row r="1952" ht="15.75" hidden="1"/>
    <row r="1953" ht="15.75" hidden="1"/>
    <row r="1954" ht="15.75" hidden="1"/>
    <row r="1955" ht="15.75" hidden="1"/>
    <row r="1956" ht="15.75" hidden="1"/>
    <row r="1957" ht="15.75" hidden="1"/>
    <row r="1958" ht="15.75" hidden="1"/>
    <row r="1959" ht="15.75" hidden="1"/>
    <row r="1960" ht="15.75" hidden="1"/>
    <row r="1961" ht="15.75" hidden="1"/>
    <row r="1962" ht="15.75" hidden="1"/>
    <row r="1963" ht="15.75" hidden="1"/>
    <row r="1964" ht="15.75" hidden="1"/>
    <row r="1965" ht="15.75" hidden="1"/>
    <row r="1966" ht="15.75" hidden="1"/>
    <row r="1967" ht="15.75" hidden="1"/>
    <row r="1968" ht="15.75" hidden="1"/>
    <row r="1969" ht="15.75" hidden="1"/>
    <row r="1970" ht="15.75" hidden="1"/>
    <row r="1971" ht="15.75" hidden="1"/>
    <row r="1972" ht="15.75" hidden="1"/>
    <row r="1973" ht="15.75" hidden="1"/>
    <row r="1974" ht="15.75" hidden="1"/>
    <row r="1975" ht="15.75" hidden="1"/>
    <row r="1976" ht="15.75" hidden="1"/>
    <row r="1977" ht="15.75" hidden="1"/>
    <row r="1978" ht="15.75" hidden="1"/>
    <row r="1979" ht="15.75" hidden="1"/>
    <row r="1980" ht="15.75" hidden="1"/>
    <row r="1981" ht="15.75" hidden="1"/>
    <row r="1982" ht="15.75" hidden="1"/>
    <row r="1983" ht="15.75" hidden="1"/>
    <row r="1984" ht="15.75" hidden="1"/>
    <row r="1985" ht="15.75" hidden="1"/>
    <row r="1986" ht="15.75" hidden="1"/>
    <row r="1987" ht="15.75" hidden="1"/>
    <row r="1988" ht="15.75" hidden="1"/>
    <row r="1989" ht="15.75" hidden="1"/>
    <row r="1990" ht="15.75" hidden="1"/>
    <row r="1991" ht="15.75" hidden="1"/>
    <row r="1992" ht="15.75" hidden="1"/>
    <row r="1993" ht="15.75" hidden="1"/>
    <row r="1994" ht="15.75" hidden="1"/>
    <row r="1995" ht="15.75" hidden="1"/>
    <row r="1996" ht="15.75" hidden="1"/>
    <row r="1997" ht="15.75" hidden="1"/>
    <row r="1998" ht="15.75" hidden="1"/>
    <row r="1999" ht="15.75" hidden="1"/>
    <row r="2000" ht="15.75" hidden="1"/>
    <row r="2001" ht="15.75" hidden="1"/>
    <row r="2002" ht="15.75" hidden="1"/>
    <row r="2003" ht="15.75" hidden="1"/>
    <row r="2004" ht="15.75" hidden="1"/>
    <row r="2005" ht="15.75" hidden="1"/>
    <row r="2006" ht="15.75" hidden="1"/>
    <row r="2007" ht="15.75" hidden="1"/>
    <row r="2008" ht="15.75" hidden="1"/>
    <row r="2009" ht="15.75" hidden="1"/>
    <row r="2010" ht="15.75" hidden="1"/>
    <row r="2011" ht="15.75" hidden="1"/>
    <row r="2012" ht="15.75" hidden="1"/>
    <row r="2013" ht="15.75" hidden="1"/>
    <row r="2014" ht="15.75" hidden="1"/>
    <row r="2015" ht="15.75" hidden="1"/>
    <row r="2016" ht="15.75" hidden="1"/>
    <row r="2017" ht="15.75" hidden="1"/>
    <row r="2018" ht="15.75" hidden="1"/>
    <row r="2019" ht="15.75" hidden="1"/>
    <row r="2020" ht="15.75" hidden="1"/>
    <row r="2021" ht="15.75" hidden="1"/>
    <row r="2022" ht="15.75" hidden="1"/>
    <row r="2023" ht="15.75" hidden="1"/>
    <row r="2024" ht="15.75" hidden="1"/>
    <row r="2025" ht="15.75" hidden="1"/>
    <row r="2026" ht="15.75" hidden="1"/>
    <row r="2027" ht="15.75" hidden="1"/>
    <row r="2028" ht="15.75" hidden="1"/>
    <row r="2029" ht="15.75" hidden="1"/>
    <row r="2030" ht="15.75" hidden="1"/>
    <row r="2031" ht="15.75" hidden="1"/>
    <row r="2032" ht="15.75" hidden="1"/>
    <row r="2033" ht="15.75" hidden="1"/>
    <row r="2034" ht="15.75" hidden="1"/>
    <row r="2035" ht="15.75" hidden="1"/>
    <row r="2036" ht="15.75" hidden="1"/>
    <row r="2037" ht="15.75" hidden="1"/>
    <row r="2038" ht="15.75" hidden="1"/>
    <row r="2039" ht="15.75" hidden="1"/>
    <row r="2040" ht="15.75" hidden="1"/>
    <row r="2041" ht="15.75" hidden="1"/>
    <row r="2042" ht="15.75" hidden="1"/>
    <row r="2043" ht="15.75" hidden="1"/>
    <row r="2044" ht="15.75" hidden="1"/>
    <row r="2045" ht="15.75" hidden="1"/>
    <row r="2046" ht="15.75" hidden="1"/>
    <row r="2047" ht="15.75" hidden="1"/>
    <row r="2048" ht="15.75" hidden="1"/>
    <row r="2049" ht="15.75" hidden="1"/>
    <row r="2050" ht="15.75" hidden="1"/>
    <row r="2051" ht="15.75" hidden="1"/>
    <row r="2052" ht="15.75" hidden="1"/>
    <row r="2053" ht="15.75" hidden="1"/>
    <row r="2054" ht="15.75" hidden="1"/>
    <row r="2055" ht="15.75" hidden="1"/>
    <row r="2056" ht="15.75" hidden="1"/>
    <row r="2057" ht="15.75" hidden="1"/>
    <row r="2058" ht="15.75" hidden="1"/>
    <row r="2059" ht="15.75" hidden="1"/>
    <row r="2060" ht="15.75" hidden="1"/>
    <row r="2061" ht="15.75" hidden="1"/>
    <row r="2062" ht="15.75" hidden="1"/>
    <row r="2063" ht="15.75" hidden="1"/>
    <row r="2064" ht="15.75" hidden="1"/>
    <row r="2065" ht="15.75" hidden="1"/>
    <row r="2066" ht="15.75" hidden="1"/>
    <row r="2067" ht="15.75" hidden="1"/>
    <row r="2068" ht="15.75" hidden="1"/>
    <row r="2069" ht="15.75" hidden="1"/>
    <row r="2070" ht="15.75" hidden="1"/>
    <row r="2071" ht="15.75" hidden="1"/>
    <row r="2072" ht="15.75" hidden="1"/>
    <row r="2073" ht="15.75" hidden="1"/>
    <row r="2074" ht="15.75" hidden="1"/>
    <row r="2075" ht="15.75" hidden="1"/>
    <row r="2076" ht="15.75" hidden="1"/>
    <row r="2077" ht="15.75" hidden="1"/>
    <row r="2078" ht="15.75" hidden="1"/>
    <row r="2079" ht="15.75" hidden="1"/>
    <row r="2080" ht="15.75" hidden="1"/>
    <row r="2081" ht="15.75" hidden="1"/>
    <row r="2082" ht="15.75" hidden="1"/>
    <row r="2083" ht="15.75" hidden="1"/>
    <row r="2084" ht="15.75" hidden="1"/>
    <row r="2085" ht="15.75" hidden="1"/>
    <row r="2086" ht="15.75" hidden="1"/>
    <row r="2087" ht="15.75" hidden="1"/>
    <row r="2088" ht="15.75" hidden="1"/>
    <row r="2089" ht="15.75" hidden="1"/>
    <row r="2090" ht="15.75" hidden="1"/>
    <row r="2091" ht="15.75" hidden="1"/>
    <row r="2092" ht="15.75" hidden="1"/>
    <row r="2093" ht="15.75" hidden="1"/>
    <row r="2094" ht="15.75" hidden="1"/>
    <row r="2095" ht="15.75" hidden="1"/>
    <row r="2096" ht="15.75" hidden="1"/>
    <row r="2097" ht="15.75" hidden="1"/>
    <row r="2098" ht="15.75" hidden="1"/>
    <row r="2099" ht="15.75" hidden="1"/>
    <row r="2100" ht="15.75" hidden="1"/>
    <row r="2101" ht="15.75" hidden="1"/>
    <row r="2102" ht="15.75" hidden="1"/>
    <row r="2103" ht="15.75" hidden="1"/>
    <row r="2104" ht="15.75" hidden="1"/>
    <row r="2105" ht="15.75" hidden="1"/>
    <row r="2106" ht="15.75" hidden="1"/>
    <row r="2107" ht="15.75" hidden="1"/>
    <row r="2108" ht="15.75" hidden="1"/>
    <row r="2109" ht="15.75" hidden="1"/>
    <row r="2110" ht="15.75" hidden="1"/>
    <row r="2111" ht="15.75" hidden="1"/>
    <row r="2112" ht="15.75" hidden="1"/>
    <row r="2113" ht="15.75" hidden="1"/>
    <row r="2114" ht="15.75" hidden="1"/>
    <row r="2115" ht="15.75" hidden="1"/>
    <row r="2116" ht="15.75" hidden="1"/>
    <row r="2117" ht="15.75" hidden="1"/>
    <row r="2118" ht="15.75" hidden="1"/>
    <row r="2119" ht="15.75" hidden="1"/>
    <row r="2120" ht="15.75" hidden="1"/>
    <row r="2121" ht="15.75" hidden="1"/>
    <row r="2122" ht="15.75" hidden="1"/>
    <row r="2123" ht="15.75" hidden="1"/>
    <row r="2124" ht="15.75" hidden="1"/>
    <row r="2125" ht="15.75" hidden="1"/>
    <row r="2126" ht="15.75" hidden="1"/>
    <row r="2127" ht="15.75" hidden="1"/>
    <row r="2128" ht="15.75" hidden="1"/>
    <row r="2129" ht="15.75" hidden="1"/>
    <row r="2130" ht="15.75" hidden="1"/>
    <row r="2131" ht="15.75" hidden="1"/>
    <row r="2132" ht="15.75" hidden="1"/>
    <row r="2133" ht="15.75" hidden="1"/>
    <row r="2134" ht="15.75" hidden="1"/>
    <row r="2135" ht="15.75" hidden="1"/>
    <row r="2136" ht="15.75" hidden="1"/>
    <row r="2137" ht="15.75" hidden="1"/>
    <row r="2138" ht="15.75" hidden="1"/>
    <row r="2139" ht="15.75" hidden="1"/>
    <row r="2140" ht="15.75" hidden="1"/>
    <row r="2141" ht="15.75" hidden="1"/>
    <row r="2142" ht="15.75" hidden="1"/>
    <row r="2143" ht="15.75" hidden="1"/>
    <row r="2144" ht="15.75" hidden="1"/>
    <row r="2145" ht="15.75" hidden="1"/>
    <row r="2146" ht="15.75" hidden="1"/>
    <row r="2147" ht="15.75" hidden="1"/>
    <row r="2148" ht="15.75" hidden="1"/>
    <row r="2149" ht="15.75" hidden="1"/>
    <row r="2150" ht="15.75" hidden="1"/>
    <row r="2151" ht="15.75" hidden="1"/>
    <row r="2152" ht="15.75" hidden="1"/>
    <row r="2153" ht="15.75" hidden="1"/>
    <row r="2154" ht="15.75" hidden="1"/>
    <row r="2155" ht="15.75" hidden="1"/>
    <row r="2156" ht="15.75" hidden="1"/>
    <row r="2157" ht="15.75" hidden="1"/>
    <row r="2158" ht="15.75" hidden="1"/>
    <row r="2159" ht="15.75" hidden="1"/>
    <row r="2160" ht="15.75" hidden="1"/>
    <row r="2161" ht="15.75" hidden="1"/>
    <row r="2162" ht="15.75" hidden="1"/>
    <row r="2163" ht="15.75" hidden="1"/>
    <row r="2164" ht="15.75" hidden="1"/>
    <row r="2165" ht="15.75" hidden="1"/>
    <row r="2166" ht="15.75" hidden="1"/>
    <row r="2167" ht="15.75" hidden="1"/>
    <row r="2168" ht="15.75" hidden="1"/>
    <row r="2169" ht="15.75" hidden="1"/>
    <row r="2170" ht="15.75" hidden="1"/>
    <row r="2171" ht="15.75" hidden="1"/>
    <row r="2172" ht="15.75" hidden="1"/>
    <row r="2173" ht="15.75" hidden="1"/>
    <row r="2174" ht="15.75" hidden="1"/>
    <row r="2175" ht="15.75" hidden="1"/>
    <row r="2176" ht="15.75" hidden="1"/>
    <row r="2177" ht="15.75" hidden="1"/>
    <row r="2178" ht="15.75" hidden="1"/>
    <row r="2179" ht="15.75" hidden="1"/>
    <row r="2180" ht="15.75" hidden="1"/>
    <row r="2181" ht="15.75" hidden="1"/>
    <row r="2182" ht="15.75" hidden="1"/>
    <row r="2183" ht="15.75" hidden="1"/>
    <row r="2184" ht="15.75" hidden="1"/>
    <row r="2185" ht="15.75" hidden="1"/>
    <row r="2186" ht="15.75" hidden="1"/>
    <row r="2187" ht="15.75" hidden="1"/>
    <row r="2188" ht="15.75" hidden="1"/>
    <row r="2189" ht="15.75" hidden="1"/>
    <row r="2190" ht="15.75" hidden="1"/>
    <row r="2191" ht="15.75" hidden="1"/>
    <row r="2192" ht="15.75" hidden="1"/>
    <row r="2193" ht="15.75" hidden="1"/>
    <row r="2194" ht="15.75" hidden="1"/>
    <row r="2195" ht="15.75" hidden="1"/>
    <row r="2196" ht="15.75" hidden="1"/>
    <row r="2197" ht="15.75" hidden="1"/>
    <row r="2198" ht="15.75" hidden="1"/>
    <row r="2199" ht="15.75" hidden="1"/>
    <row r="2200" ht="15.75" hidden="1"/>
    <row r="2201" ht="15.75" hidden="1"/>
    <row r="2202" ht="15.75" hidden="1"/>
    <row r="2203" ht="15.75" hidden="1"/>
    <row r="2204" ht="15.75" hidden="1"/>
    <row r="2205" ht="15.75" hidden="1"/>
    <row r="2206" ht="15.75" hidden="1"/>
    <row r="2207" ht="15.75" hidden="1"/>
    <row r="2208" ht="15.75" hidden="1"/>
    <row r="2209" ht="15.75" hidden="1"/>
    <row r="2210" ht="15.75" hidden="1"/>
    <row r="2211" ht="15.75" hidden="1"/>
    <row r="2212" ht="15.75" hidden="1"/>
    <row r="2213" ht="15.75" hidden="1"/>
    <row r="2214" ht="15.75" hidden="1"/>
    <row r="2215" ht="15.75" hidden="1"/>
    <row r="2216" ht="15.75" hidden="1"/>
    <row r="2217" ht="15.75" hidden="1"/>
    <row r="2218" ht="15.75" hidden="1"/>
    <row r="2219" ht="15.75" hidden="1"/>
    <row r="2220" ht="15.75" hidden="1"/>
    <row r="2221" ht="15.75" hidden="1"/>
    <row r="2222" ht="15.75" hidden="1"/>
    <row r="2223" ht="15.75" hidden="1"/>
    <row r="2224" ht="15.75" hidden="1"/>
    <row r="2225" ht="15.75" hidden="1"/>
    <row r="2226" ht="15.75" hidden="1"/>
    <row r="2227" ht="15.75" hidden="1"/>
    <row r="2228" ht="15.75" hidden="1"/>
    <row r="2229" ht="15.75" hidden="1"/>
    <row r="2230" ht="15.75" hidden="1"/>
    <row r="2231" ht="15.75" hidden="1"/>
    <row r="2232" ht="15.75" hidden="1"/>
    <row r="2233" ht="15.75" hidden="1"/>
    <row r="2234" ht="15.75" hidden="1"/>
    <row r="2235" ht="15.75" hidden="1"/>
    <row r="2236" ht="15.75" hidden="1"/>
    <row r="2237" ht="15.75" hidden="1"/>
    <row r="2238" ht="15.75" hidden="1"/>
    <row r="2239" ht="15.75" hidden="1"/>
    <row r="2240" ht="15.75" hidden="1"/>
    <row r="2241" ht="15.75" hidden="1"/>
    <row r="2242" ht="15.75" hidden="1"/>
    <row r="2243" ht="15.75" hidden="1"/>
    <row r="2244" ht="15.75" hidden="1"/>
    <row r="2245" ht="15.75" hidden="1"/>
    <row r="2246" ht="15.75" hidden="1"/>
    <row r="2247" ht="15.75" hidden="1"/>
    <row r="2248" ht="15.75" hidden="1"/>
    <row r="2249" ht="15.75" hidden="1"/>
    <row r="2250" ht="15.75" hidden="1"/>
    <row r="2251" ht="15.75" hidden="1"/>
    <row r="2252" ht="15.75" hidden="1"/>
    <row r="2253" ht="15.75" hidden="1"/>
    <row r="2254" ht="15.75" hidden="1"/>
    <row r="2255" ht="15.75" hidden="1"/>
    <row r="2256" ht="15.75" hidden="1"/>
    <row r="2257" ht="15.75" hidden="1"/>
    <row r="2258" ht="15.75" hidden="1"/>
    <row r="2259" ht="15.75" hidden="1"/>
    <row r="2260" ht="15.75" hidden="1"/>
    <row r="2261" ht="15.75" hidden="1"/>
    <row r="2262" ht="15.75" hidden="1"/>
    <row r="2263" ht="15.75" hidden="1"/>
    <row r="2264" ht="15.75" hidden="1"/>
    <row r="2265" ht="15.75" hidden="1"/>
    <row r="2266" ht="15.75" hidden="1"/>
    <row r="2267" ht="15.75" hidden="1"/>
    <row r="2268" ht="15.75" hidden="1"/>
    <row r="2269" ht="15.75" hidden="1"/>
    <row r="2270" ht="15.75" hidden="1"/>
    <row r="2271" ht="15.75" hidden="1"/>
    <row r="2272" ht="15.75" hidden="1"/>
    <row r="2273" ht="15.75" hidden="1"/>
    <row r="2274" ht="15.75" hidden="1"/>
    <row r="2275" ht="15.75" hidden="1"/>
    <row r="2276" ht="15.75" hidden="1"/>
    <row r="2277" ht="15.75" hidden="1"/>
    <row r="2278" ht="15.75" hidden="1"/>
    <row r="2279" ht="15.75" hidden="1"/>
    <row r="2280" ht="15.75" hidden="1"/>
    <row r="2281" ht="15.75" hidden="1"/>
    <row r="2282" ht="15.75" hidden="1"/>
    <row r="2283" ht="15.75" hidden="1"/>
    <row r="2284" ht="15.75" hidden="1"/>
    <row r="2285" ht="15.75" hidden="1"/>
    <row r="2286" ht="15.75" hidden="1"/>
    <row r="2287" ht="15.75" hidden="1"/>
    <row r="2288" ht="15.75" hidden="1"/>
    <row r="2289" ht="15.75" hidden="1"/>
    <row r="2290" ht="15.75" hidden="1"/>
    <row r="2291" ht="15.75" hidden="1"/>
    <row r="2292" ht="15.75" hidden="1"/>
    <row r="2293" ht="15.75" hidden="1"/>
    <row r="2294" ht="15.75" hidden="1"/>
    <row r="2295" ht="15.75" hidden="1"/>
    <row r="2296" ht="15.75" hidden="1"/>
    <row r="2297" ht="15.75" hidden="1"/>
    <row r="2298" ht="15.75" hidden="1"/>
    <row r="2299" ht="15.75" hidden="1"/>
    <row r="2300" ht="15.75" hidden="1"/>
    <row r="2301" ht="15.75" hidden="1"/>
    <row r="2302" ht="15.75" hidden="1"/>
    <row r="2303" ht="15.75" hidden="1"/>
    <row r="2304" ht="15.75" hidden="1"/>
    <row r="2305" ht="15.75" hidden="1"/>
    <row r="2306" ht="15.75" hidden="1"/>
    <row r="2307" ht="15.75" hidden="1"/>
    <row r="2308" ht="15.75" hidden="1"/>
    <row r="2309" ht="15.75" hidden="1"/>
    <row r="2310" ht="15.75" hidden="1"/>
    <row r="2311" ht="15.75" hidden="1"/>
    <row r="2312" ht="15.75" hidden="1"/>
    <row r="2313" ht="15.75" hidden="1"/>
    <row r="2314" ht="15.75" hidden="1"/>
    <row r="2315" ht="15.75" hidden="1"/>
    <row r="2316" ht="15.75" hidden="1"/>
    <row r="2317" ht="15.75" hidden="1"/>
    <row r="2318" ht="15.75" hidden="1"/>
    <row r="2319" ht="15.75" hidden="1"/>
    <row r="2320" ht="15.75" hidden="1"/>
    <row r="2321" ht="15.75" hidden="1"/>
    <row r="2322" ht="15.75" hidden="1"/>
    <row r="2323" ht="15.75" hidden="1"/>
    <row r="2324" ht="15.75" hidden="1"/>
    <row r="2325" ht="15.75" hidden="1"/>
    <row r="2326" ht="15.75" hidden="1"/>
    <row r="2327" ht="15.75" hidden="1"/>
    <row r="2328" ht="15.75" hidden="1"/>
    <row r="2329" ht="15.75" hidden="1"/>
    <row r="2330" ht="15.75" hidden="1"/>
    <row r="2331" ht="15.75" hidden="1"/>
    <row r="2332" ht="15.75" hidden="1"/>
    <row r="2333" ht="15.75" hidden="1"/>
    <row r="2334" ht="15.75" hidden="1"/>
    <row r="2335" ht="15.75" hidden="1"/>
    <row r="2336" ht="15.75" hidden="1"/>
    <row r="2337" ht="15.75" hidden="1"/>
    <row r="2338" ht="15.75" hidden="1"/>
    <row r="2339" ht="15.75" hidden="1"/>
    <row r="2340" ht="15.75" hidden="1"/>
    <row r="2341" ht="15.75" hidden="1"/>
    <row r="2342" ht="15.75" hidden="1"/>
    <row r="2343" ht="15.75" hidden="1"/>
    <row r="2344" ht="15.75" hidden="1"/>
    <row r="2345" ht="15.75" hidden="1"/>
    <row r="2346" ht="15.75" hidden="1"/>
    <row r="2347" ht="15.75" hidden="1"/>
    <row r="2348" ht="15.75" hidden="1"/>
    <row r="2349" ht="15.75" hidden="1"/>
    <row r="2350" ht="15.75" hidden="1"/>
    <row r="2351" ht="15.75" hidden="1"/>
    <row r="2352" ht="15.75" hidden="1"/>
    <row r="2353" ht="15.75" hidden="1"/>
    <row r="2354" ht="15.75" hidden="1"/>
    <row r="2355" ht="15.75" hidden="1"/>
    <row r="2356" ht="15.75" hidden="1"/>
    <row r="2357" ht="15.75" hidden="1"/>
    <row r="2358" ht="15.75" hidden="1"/>
    <row r="2359" ht="15.75" hidden="1"/>
    <row r="2360" ht="15.75" hidden="1"/>
    <row r="2361" ht="15.75" hidden="1"/>
    <row r="2362" ht="15.75" hidden="1"/>
    <row r="2363" ht="15.75" hidden="1"/>
    <row r="2364" ht="15.75" hidden="1"/>
    <row r="2365" ht="15.75" hidden="1"/>
    <row r="2366" ht="15.75" hidden="1"/>
    <row r="2367" ht="15.75" hidden="1"/>
    <row r="2368" ht="15.75" hidden="1"/>
    <row r="2369" ht="15.75" hidden="1"/>
    <row r="2370" ht="15.75" hidden="1"/>
    <row r="2371" ht="15.75" hidden="1"/>
    <row r="2372" ht="15.75" hidden="1"/>
    <row r="2373" ht="15.75" hidden="1"/>
    <row r="2374" ht="15.75" hidden="1"/>
    <row r="2375" ht="15.75" hidden="1"/>
    <row r="2376" ht="15.75" hidden="1"/>
    <row r="2377" ht="15.75" hidden="1"/>
    <row r="2378" ht="15.75" hidden="1"/>
    <row r="2379" ht="15.75" hidden="1"/>
    <row r="2380" ht="15.75" hidden="1"/>
    <row r="2381" ht="15.75" hidden="1"/>
    <row r="2382" ht="15.75" hidden="1"/>
    <row r="2383" ht="15.75" hidden="1"/>
    <row r="2384" ht="15.75" hidden="1"/>
    <row r="2385" ht="15.75" hidden="1"/>
    <row r="2386" ht="15.75" hidden="1"/>
    <row r="2387" ht="15.75" hidden="1"/>
    <row r="2388" ht="15.75" hidden="1"/>
    <row r="2389" ht="15.75" hidden="1"/>
    <row r="2390" ht="15.75" hidden="1"/>
    <row r="2391" ht="15.75" hidden="1"/>
    <row r="2392" ht="15.75" hidden="1"/>
    <row r="2393" ht="15.75" hidden="1"/>
    <row r="2394" ht="15.75" hidden="1"/>
    <row r="2395" ht="15.75" hidden="1"/>
    <row r="2396" ht="15.75" hidden="1"/>
    <row r="2397" ht="15.75" hidden="1"/>
    <row r="2398" ht="15.75" hidden="1"/>
    <row r="2399" ht="15.75" hidden="1"/>
    <row r="2400" ht="15.75" hidden="1"/>
    <row r="2401" ht="15.75" hidden="1"/>
    <row r="2402" ht="15.75" hidden="1"/>
    <row r="2403" ht="15.75" hidden="1"/>
    <row r="2404" ht="15.75" hidden="1"/>
    <row r="2405" ht="15.75" hidden="1"/>
    <row r="2406" ht="15.75" hidden="1"/>
    <row r="2407" ht="15.75" hidden="1"/>
    <row r="2408" ht="15.75" hidden="1"/>
    <row r="2409" ht="15.75" hidden="1"/>
    <row r="2410" ht="15.75" hidden="1"/>
    <row r="2411" ht="15.75" hidden="1"/>
    <row r="2412" ht="15.75" hidden="1"/>
    <row r="2413" ht="15.75" hidden="1"/>
    <row r="2414" ht="15.75" hidden="1"/>
    <row r="2415" ht="15.75" hidden="1"/>
    <row r="2416" ht="15.75" hidden="1"/>
    <row r="2417" ht="15.75" hidden="1"/>
    <row r="2418" ht="15.75" hidden="1"/>
    <row r="2419" ht="15.75" hidden="1"/>
    <row r="2420" ht="15.75" hidden="1"/>
    <row r="2421" ht="15.75" hidden="1"/>
    <row r="2422" ht="15.75" hidden="1"/>
    <row r="2423" ht="15.75" hidden="1"/>
    <row r="2424" ht="15.75" hidden="1"/>
    <row r="2425" ht="15.75" hidden="1"/>
    <row r="2426" ht="15.75" hidden="1"/>
    <row r="2427" ht="15.75" hidden="1"/>
    <row r="2428" ht="15.75" hidden="1"/>
    <row r="2429" ht="15.75" hidden="1"/>
    <row r="2430" ht="15.75" hidden="1"/>
    <row r="2431" ht="15.75" hidden="1"/>
    <row r="2432" ht="15.75" hidden="1"/>
    <row r="2433" ht="15.75" hidden="1"/>
    <row r="2434" ht="15.75" hidden="1"/>
    <row r="2435" ht="15.75" hidden="1"/>
    <row r="2436" ht="15.75" hidden="1"/>
    <row r="2437" ht="15.75" hidden="1"/>
    <row r="2438" ht="15.75" hidden="1"/>
    <row r="2439" ht="15.75" hidden="1"/>
    <row r="2440" ht="15.75" hidden="1"/>
    <row r="2441" ht="15.75" hidden="1"/>
    <row r="2442" ht="15.75" hidden="1"/>
    <row r="2443" ht="15.75" hidden="1"/>
    <row r="2444" ht="15.75" hidden="1"/>
    <row r="2445" ht="15.75" hidden="1"/>
    <row r="2446" ht="15.75" hidden="1"/>
    <row r="2447" ht="15.75" hidden="1"/>
    <row r="2448" ht="15.75" hidden="1"/>
    <row r="2449" ht="15.75" hidden="1"/>
    <row r="2450" ht="15.75" hidden="1"/>
    <row r="2451" ht="15.75" hidden="1"/>
    <row r="2452" ht="15.75" hidden="1"/>
    <row r="2453" ht="15.75" hidden="1"/>
    <row r="2454" ht="15.75" hidden="1"/>
    <row r="2455" ht="15.75" hidden="1"/>
    <row r="2456" ht="15.75" hidden="1"/>
    <row r="2457" ht="15.75" hidden="1"/>
    <row r="2458" ht="15.75" hidden="1"/>
    <row r="2459" ht="15.75" hidden="1"/>
    <row r="2460" ht="15.75" hidden="1"/>
    <row r="2461" ht="15.75" hidden="1"/>
    <row r="2462" ht="15.75" hidden="1"/>
    <row r="2463" ht="15.75" hidden="1"/>
    <row r="2464" ht="15.75" hidden="1"/>
    <row r="2465" ht="15.75" hidden="1"/>
    <row r="2466" ht="15.75" hidden="1"/>
    <row r="2467" ht="15.75" hidden="1"/>
    <row r="2468" ht="15.75" hidden="1"/>
    <row r="2469" ht="15.75" hidden="1"/>
    <row r="2470" ht="15.75" hidden="1"/>
    <row r="2471" ht="15.75" hidden="1"/>
    <row r="2472" ht="15.75" hidden="1"/>
    <row r="2473" ht="15.75" hidden="1"/>
    <row r="2474" ht="15.75" hidden="1"/>
    <row r="2475" ht="15.75" hidden="1"/>
    <row r="2476" ht="15.75" hidden="1"/>
    <row r="2477" ht="15.75" hidden="1"/>
    <row r="2478" ht="15.75" hidden="1"/>
    <row r="2479" ht="15.75" hidden="1"/>
    <row r="2480" ht="15.75" hidden="1"/>
    <row r="2481" ht="15.75" hidden="1"/>
    <row r="2482" ht="15.75" hidden="1"/>
    <row r="2483" ht="15.75" hidden="1"/>
    <row r="2484" ht="15.75" hidden="1"/>
    <row r="2485" ht="15.75" hidden="1"/>
    <row r="2486" ht="15.75" hidden="1"/>
    <row r="2487" ht="15.75" hidden="1"/>
    <row r="2488" ht="15.75" hidden="1"/>
    <row r="2489" ht="15.75" hidden="1"/>
    <row r="2490" ht="15.75" hidden="1"/>
    <row r="2491" ht="15.75" hidden="1"/>
    <row r="2492" ht="15.75" hidden="1"/>
    <row r="2493" ht="15.75" hidden="1"/>
    <row r="2494" ht="15.75" hidden="1"/>
    <row r="2495" ht="15.75" hidden="1"/>
    <row r="2496" ht="15.75" hidden="1"/>
    <row r="2497" ht="15.75" hidden="1"/>
    <row r="2498" ht="15.75" hidden="1"/>
    <row r="2499" ht="15.75" hidden="1"/>
    <row r="2500" ht="15.75" hidden="1"/>
    <row r="2501" ht="15.75" hidden="1"/>
    <row r="2502" ht="15.75" hidden="1"/>
    <row r="2503" ht="15.75" hidden="1"/>
    <row r="2504" ht="15.75" hidden="1"/>
    <row r="2505" ht="15.75" hidden="1"/>
    <row r="2506" ht="15.75" hidden="1"/>
    <row r="2507" ht="15.75" hidden="1"/>
    <row r="2508" ht="15.75" hidden="1"/>
    <row r="2509" ht="15.75" hidden="1"/>
    <row r="2510" ht="15.75" hidden="1"/>
    <row r="2511" ht="15.75" hidden="1"/>
    <row r="2512" ht="15.75" hidden="1"/>
    <row r="2513" ht="15.75" hidden="1"/>
    <row r="2514" ht="15.75" hidden="1"/>
    <row r="2515" ht="15.75" hidden="1"/>
    <row r="2516" ht="15.75" hidden="1"/>
    <row r="2517" ht="15.75" hidden="1"/>
    <row r="2518" ht="15.75" hidden="1"/>
    <row r="2519" ht="15.75" hidden="1"/>
    <row r="2520" ht="15.75" hidden="1"/>
    <row r="2521" ht="15.75" hidden="1"/>
    <row r="2522" ht="15.75" hidden="1"/>
    <row r="2523" ht="15.75" hidden="1"/>
    <row r="2524" ht="15.75" hidden="1"/>
    <row r="2525" ht="15.75" hidden="1"/>
    <row r="2526" ht="15.75" hidden="1"/>
    <row r="2527" ht="15.75" hidden="1"/>
    <row r="2528" ht="15.75" hidden="1"/>
    <row r="2529" ht="15.75" hidden="1"/>
    <row r="2530" ht="15.75" hidden="1"/>
    <row r="2531" ht="15.75" hidden="1"/>
    <row r="2532" ht="15.75" hidden="1"/>
    <row r="2533" ht="15.75" hidden="1"/>
    <row r="2534" ht="15.75" hidden="1"/>
    <row r="2535" ht="15.75" hidden="1"/>
    <row r="2536" ht="15.75" hidden="1"/>
    <row r="2537" ht="15.75" hidden="1"/>
    <row r="2538" ht="15.75" hidden="1"/>
    <row r="2539" ht="15.75" hidden="1"/>
    <row r="2540" ht="15.75" hidden="1"/>
    <row r="2541" ht="15.75" hidden="1"/>
    <row r="2542" ht="15.75" hidden="1"/>
    <row r="2543" ht="15.75" hidden="1"/>
    <row r="2544" ht="15.75" hidden="1"/>
    <row r="2545" ht="15.75" hidden="1"/>
    <row r="2546" ht="15.75" hidden="1"/>
    <row r="2547" ht="15.75" hidden="1"/>
    <row r="2548" ht="15.75" hidden="1"/>
    <row r="2549" ht="15.75" hidden="1"/>
    <row r="2550" ht="15.75" hidden="1"/>
    <row r="2551" ht="15.75" hidden="1"/>
    <row r="2552" ht="15.75" hidden="1"/>
    <row r="2553" ht="15.75" hidden="1"/>
    <row r="2554" ht="15.75" hidden="1"/>
    <row r="2555" ht="15.75" hidden="1"/>
    <row r="2556" ht="15.75" hidden="1"/>
    <row r="2557" ht="15.75" hidden="1"/>
    <row r="2558" ht="15.75" hidden="1"/>
    <row r="2559" ht="15.75" hidden="1"/>
    <row r="2560" ht="15.75" hidden="1"/>
    <row r="2561" ht="15.75" hidden="1"/>
    <row r="2562" ht="15.75" hidden="1"/>
    <row r="2563" ht="15.75" hidden="1"/>
    <row r="2564" ht="15.75" hidden="1"/>
    <row r="2565" ht="15.75" hidden="1"/>
    <row r="2566" ht="15.75" hidden="1"/>
    <row r="2567" ht="15.75" hidden="1"/>
    <row r="2568" ht="15.75" hidden="1"/>
    <row r="2569" ht="15.75" hidden="1"/>
    <row r="2570" ht="15.75" hidden="1"/>
    <row r="2571" ht="15.75" hidden="1"/>
    <row r="2572" ht="15.75" hidden="1"/>
    <row r="2573" ht="15.75" hidden="1"/>
    <row r="2574" ht="15.75" hidden="1"/>
    <row r="2575" ht="15.75" hidden="1"/>
    <row r="2576" ht="15.75" hidden="1"/>
    <row r="2577" ht="15.75" hidden="1"/>
    <row r="2578" ht="15.75" hidden="1"/>
    <row r="2579" ht="15.75" hidden="1"/>
    <row r="2580" ht="15.75" hidden="1"/>
    <row r="2581" ht="15.75" hidden="1"/>
    <row r="2582" ht="15.75" hidden="1"/>
    <row r="2583" ht="15.75" hidden="1"/>
    <row r="2584" ht="15.75" hidden="1"/>
    <row r="2585" ht="15.75" hidden="1"/>
    <row r="2586" ht="15.75" hidden="1"/>
    <row r="2587" ht="15.75" hidden="1"/>
    <row r="2588" ht="15.75" hidden="1"/>
    <row r="2589" ht="15.75" hidden="1"/>
    <row r="2590" ht="15.75" hidden="1"/>
    <row r="2591" ht="15.75" hidden="1"/>
    <row r="2592" ht="15.75" hidden="1"/>
    <row r="2593" ht="15.75" hidden="1"/>
    <row r="2594" ht="15.75" hidden="1"/>
    <row r="2595" ht="15.75" hidden="1"/>
    <row r="2596" ht="15.75" hidden="1"/>
    <row r="2597" ht="15.75" hidden="1"/>
    <row r="2598" ht="15.75" hidden="1"/>
    <row r="2599" ht="15.75" hidden="1"/>
    <row r="2600" ht="15.75" hidden="1"/>
    <row r="2601" ht="15.75" hidden="1"/>
    <row r="2602" ht="15.75" hidden="1"/>
    <row r="2603" ht="15.75" hidden="1"/>
    <row r="2604" ht="15.75" hidden="1"/>
    <row r="2605" ht="15.75" hidden="1"/>
    <row r="2606" ht="15.75" hidden="1"/>
    <row r="2607" ht="15.75" hidden="1"/>
    <row r="2608" ht="15.75" hidden="1"/>
    <row r="2609" ht="15.75" hidden="1"/>
    <row r="2610" ht="15.75" hidden="1"/>
    <row r="2611" ht="15.75" hidden="1"/>
    <row r="2612" ht="15.75" hidden="1"/>
    <row r="2613" ht="15.75" hidden="1"/>
    <row r="2614" ht="15.75" hidden="1"/>
    <row r="2615" ht="15.75" hidden="1"/>
    <row r="2616" ht="15.75" hidden="1"/>
    <row r="2617" ht="15.75" hidden="1"/>
    <row r="2618" ht="15.75" hidden="1"/>
    <row r="2619" ht="15.75" hidden="1"/>
    <row r="2620" ht="15.75" hidden="1"/>
    <row r="2621" ht="15.75" hidden="1"/>
    <row r="2622" ht="15.75" hidden="1"/>
    <row r="2623" ht="15.75" hidden="1"/>
    <row r="2624" ht="15.75" hidden="1"/>
    <row r="2625" ht="15.75" hidden="1"/>
    <row r="2626" ht="15.75" hidden="1"/>
    <row r="2627" ht="15.75" hidden="1"/>
    <row r="2628" ht="15.75" hidden="1"/>
    <row r="2629" ht="15.75" hidden="1"/>
    <row r="2630" ht="15.75" hidden="1"/>
    <row r="2631" ht="15.75" hidden="1"/>
    <row r="2632" ht="15.75" hidden="1"/>
    <row r="2633" ht="15.75" hidden="1"/>
    <row r="2634" ht="15.75" hidden="1"/>
    <row r="2635" ht="15.75" hidden="1"/>
    <row r="2636" ht="15.75" hidden="1"/>
    <row r="2637" ht="15.75" hidden="1"/>
    <row r="2638" ht="15.75" hidden="1"/>
    <row r="2639" ht="15.75" hidden="1"/>
    <row r="2640" ht="15.75" hidden="1"/>
    <row r="2641" ht="15.75" hidden="1"/>
    <row r="2642" ht="15.75" hidden="1"/>
    <row r="2643" ht="15.75" hidden="1"/>
    <row r="2644" ht="15.75" hidden="1"/>
    <row r="2645" ht="15.75" hidden="1"/>
    <row r="2646" ht="15.75" hidden="1"/>
    <row r="2647" ht="15.75" hidden="1"/>
    <row r="2648" ht="15.75" hidden="1"/>
    <row r="2649" ht="15.75" hidden="1"/>
    <row r="2650" ht="15.75" hidden="1"/>
    <row r="2651" ht="15.75" hidden="1"/>
    <row r="2652" ht="15.75" hidden="1"/>
    <row r="2653" ht="15.75" hidden="1"/>
    <row r="2654" ht="15.75" hidden="1"/>
    <row r="2655" ht="15.75" hidden="1"/>
    <row r="2656" ht="15.75" hidden="1"/>
    <row r="2657" ht="15.75" hidden="1"/>
    <row r="2658" ht="15.75" hidden="1"/>
    <row r="2659" ht="15.75" hidden="1"/>
    <row r="2660" ht="15.75" hidden="1"/>
    <row r="2661" ht="15.75" hidden="1"/>
    <row r="2662" ht="15.75" hidden="1"/>
    <row r="2663" ht="15.75" hidden="1"/>
    <row r="2664" ht="15.75" hidden="1"/>
    <row r="2665" ht="15.75" hidden="1"/>
    <row r="2666" ht="15.75" hidden="1"/>
    <row r="2667" ht="15.75" hidden="1"/>
    <row r="2668" ht="15.75" hidden="1"/>
    <row r="2669" ht="15.75" hidden="1"/>
    <row r="2670" ht="15.75" hidden="1"/>
    <row r="2671" ht="15.75" hidden="1"/>
    <row r="2672" ht="15.75" hidden="1"/>
    <row r="2673" ht="15.75" hidden="1"/>
    <row r="2674" ht="15.75" hidden="1"/>
    <row r="2675" ht="15.75" hidden="1"/>
    <row r="2676" ht="15.75" hidden="1"/>
    <row r="2677" ht="15.75" hidden="1"/>
    <row r="2678" ht="15.75" hidden="1"/>
    <row r="2679" ht="15.75" hidden="1"/>
    <row r="2680" ht="15.75" hidden="1"/>
    <row r="2681" ht="15.75" hidden="1"/>
    <row r="2682" ht="15.75" hidden="1"/>
    <row r="2683" ht="15.75" hidden="1"/>
    <row r="2684" ht="15.75" hidden="1"/>
    <row r="2685" ht="15.75" hidden="1"/>
    <row r="2686" ht="15.75" hidden="1"/>
    <row r="2687" ht="15.75" hidden="1"/>
    <row r="2688" ht="15.75" hidden="1"/>
    <row r="2689" ht="15.75" hidden="1"/>
    <row r="2690" ht="15.75" hidden="1"/>
    <row r="2691" ht="15.75" hidden="1"/>
    <row r="2692" ht="15.75" hidden="1"/>
    <row r="2693" ht="15.75" hidden="1"/>
    <row r="2694" ht="15.75" hidden="1"/>
    <row r="2695" ht="15.75" hidden="1"/>
    <row r="2696" ht="15.75" hidden="1"/>
    <row r="2697" ht="15.75" hidden="1"/>
    <row r="2698" ht="15.75" hidden="1"/>
    <row r="2699" ht="15.75" hidden="1"/>
    <row r="2700" ht="15.75" hidden="1"/>
    <row r="2701" ht="15.75" hidden="1"/>
    <row r="2702" ht="15.75" hidden="1"/>
    <row r="2703" ht="15.75" hidden="1"/>
    <row r="2704" ht="15.75" hidden="1"/>
    <row r="2705" ht="15.75" hidden="1"/>
    <row r="2706" ht="15.75" hidden="1"/>
    <row r="2707" ht="15.75" hidden="1"/>
    <row r="2708" ht="15.75" hidden="1"/>
    <row r="2709" ht="15.75" hidden="1"/>
    <row r="2710" ht="15.75" hidden="1"/>
    <row r="2711" ht="15.75" hidden="1"/>
    <row r="2712" ht="15.75" hidden="1"/>
    <row r="2713" ht="15.75" hidden="1"/>
    <row r="2714" ht="15.75" hidden="1"/>
    <row r="2715" ht="15.75" hidden="1"/>
    <row r="2716" ht="15.75" hidden="1"/>
    <row r="2717" ht="15.75" hidden="1"/>
    <row r="2718" ht="15.75" hidden="1"/>
    <row r="2719" ht="15.75" hidden="1"/>
    <row r="2720" ht="15.75" hidden="1"/>
    <row r="2721" ht="15.75" hidden="1"/>
    <row r="2722" ht="15.75" hidden="1"/>
    <row r="2723" ht="15.75" hidden="1"/>
    <row r="2724" ht="15.75" hidden="1"/>
    <row r="2725" ht="15.75" hidden="1"/>
    <row r="2726" ht="15.75" hidden="1"/>
    <row r="2727" ht="15.75" hidden="1"/>
    <row r="2728" ht="15.75" hidden="1"/>
    <row r="2729" ht="15.75" hidden="1"/>
    <row r="2730" ht="15.75" hidden="1"/>
    <row r="2731" ht="15.75" hidden="1"/>
    <row r="2732" ht="15.75" hidden="1"/>
    <row r="2733" ht="15.75" hidden="1"/>
    <row r="2734" ht="15.75" hidden="1"/>
    <row r="2735" ht="15.75" hidden="1"/>
    <row r="2736" ht="15.75" hidden="1"/>
    <row r="2737" ht="15.75" hidden="1"/>
    <row r="2738" ht="15.75" hidden="1"/>
    <row r="2739" ht="15.75" hidden="1"/>
    <row r="2740" ht="15.75" hidden="1"/>
    <row r="2741" ht="15.75" hidden="1"/>
    <row r="2742" ht="15.75" hidden="1"/>
    <row r="2743" ht="15.75" hidden="1"/>
    <row r="2744" ht="15.75" hidden="1"/>
    <row r="2745" ht="15.75" hidden="1"/>
    <row r="2746" ht="15.75" hidden="1"/>
    <row r="2747" ht="15.75" hidden="1"/>
    <row r="2748" ht="15.75" hidden="1"/>
    <row r="2749" ht="15.75" hidden="1"/>
    <row r="2750" ht="15.75" hidden="1"/>
    <row r="2751" ht="15.75" hidden="1"/>
    <row r="2752" ht="15.75" hidden="1"/>
    <row r="2753" ht="15.75" hidden="1"/>
    <row r="2754" ht="15.75" hidden="1"/>
    <row r="2755" ht="15.75" hidden="1"/>
    <row r="2756" ht="15.75" hidden="1"/>
    <row r="2757" ht="15.75" hidden="1"/>
    <row r="2758" ht="15.75" hidden="1"/>
    <row r="2759" ht="15.75" hidden="1"/>
    <row r="2760" ht="15.75" hidden="1"/>
    <row r="2761" ht="15.75" hidden="1"/>
    <row r="2762" ht="15.75" hidden="1"/>
    <row r="2763" ht="15.75" hidden="1"/>
    <row r="2764" ht="15.75" hidden="1"/>
    <row r="2765" ht="15.75" hidden="1"/>
    <row r="2766" ht="15.75" hidden="1"/>
    <row r="2767" ht="15.75" hidden="1"/>
    <row r="2768" ht="15.75" hidden="1"/>
    <row r="2769" ht="15.75" hidden="1"/>
    <row r="2770" ht="15.75" hidden="1"/>
    <row r="2771" ht="15.75" hidden="1"/>
    <row r="2772" ht="15.75" hidden="1"/>
    <row r="2773" ht="15.75" hidden="1"/>
    <row r="2774" ht="15.75" hidden="1"/>
    <row r="2775" ht="15.75" hidden="1"/>
    <row r="2776" ht="15.75" hidden="1"/>
    <row r="2777" ht="15.75" hidden="1"/>
    <row r="2778" ht="15.75" hidden="1"/>
    <row r="2779" ht="15.75" hidden="1"/>
    <row r="2780" ht="15.75" hidden="1"/>
    <row r="2781" ht="15.75" hidden="1"/>
    <row r="2782" ht="15.75" hidden="1"/>
    <row r="2783" ht="15.75" hidden="1"/>
    <row r="2784" ht="15.75" hidden="1"/>
    <row r="2785" ht="15.75" hidden="1"/>
    <row r="2786" ht="15.75" hidden="1"/>
    <row r="2787" ht="15.75" hidden="1"/>
    <row r="2788" ht="15.75" hidden="1"/>
    <row r="2789" ht="15.75" hidden="1"/>
    <row r="2790" ht="15.75" hidden="1"/>
    <row r="2791" ht="15.75" hidden="1"/>
    <row r="2792" ht="15.75" hidden="1"/>
    <row r="2793" ht="15.75" hidden="1"/>
    <row r="2794" ht="15.75" hidden="1"/>
    <row r="2795" ht="15.75" hidden="1"/>
    <row r="2796" ht="15.75" hidden="1"/>
    <row r="2797" ht="15.75" hidden="1"/>
    <row r="2798" ht="15.75" hidden="1"/>
    <row r="2799" ht="15.75" hidden="1"/>
    <row r="2800" ht="15.75" hidden="1"/>
    <row r="2801" ht="15.75" hidden="1"/>
    <row r="2802" ht="15.75" hidden="1"/>
    <row r="2803" ht="15.75" hidden="1"/>
    <row r="2804" ht="15.75" hidden="1"/>
    <row r="2805" ht="15.75" hidden="1"/>
    <row r="2806" ht="15.75" hidden="1"/>
    <row r="2807" ht="15.75" hidden="1"/>
    <row r="2808" ht="15.75" hidden="1"/>
    <row r="2809" ht="15.75" hidden="1"/>
    <row r="2810" ht="15.75" hidden="1"/>
    <row r="2811" ht="15.75" hidden="1"/>
    <row r="2812" ht="15.75" hidden="1"/>
    <row r="2813" ht="15.75" hidden="1"/>
    <row r="2814" ht="15.75" hidden="1"/>
    <row r="2815" ht="15.75" hidden="1"/>
    <row r="2816" ht="15.75" hidden="1"/>
    <row r="2817" ht="15.75" hidden="1"/>
    <row r="2818" ht="15.75" hidden="1"/>
    <row r="2819" ht="15.75" hidden="1"/>
    <row r="2820" ht="15.75" hidden="1"/>
    <row r="2821" ht="15.75" hidden="1"/>
    <row r="2822" ht="15.75" hidden="1"/>
    <row r="2823" ht="15.75" hidden="1"/>
    <row r="2824" ht="15.75" hidden="1"/>
    <row r="2825" ht="15.75" hidden="1"/>
    <row r="2826" ht="15.75" hidden="1"/>
    <row r="2827" ht="15.75" hidden="1"/>
    <row r="2828" ht="15.75" hidden="1"/>
    <row r="2829" ht="15.75" hidden="1"/>
    <row r="2830" ht="15.75" hidden="1"/>
    <row r="2831" ht="15.75" hidden="1"/>
    <row r="2832" ht="15.75" hidden="1"/>
    <row r="2833" ht="15.75" hidden="1"/>
    <row r="2834" ht="15.75" hidden="1"/>
    <row r="2835" ht="15.75" hidden="1"/>
    <row r="2836" ht="15.75" hidden="1"/>
    <row r="2837" ht="15.75" hidden="1"/>
    <row r="2838" ht="15.75" hidden="1"/>
    <row r="2839" ht="15.75" hidden="1"/>
    <row r="2840" ht="15.75" hidden="1"/>
    <row r="2841" ht="15.75" hidden="1"/>
    <row r="2842" ht="15.75" hidden="1"/>
    <row r="2843" ht="15.75" hidden="1"/>
    <row r="2844" ht="15.75" hidden="1"/>
    <row r="2845" ht="15.75" hidden="1"/>
    <row r="2846" ht="15.75" hidden="1"/>
    <row r="2847" ht="15.75" hidden="1"/>
    <row r="2848" ht="15.75" hidden="1"/>
    <row r="2849" ht="15.75" hidden="1"/>
    <row r="2850" ht="15.75" hidden="1"/>
    <row r="2851" ht="15.75" hidden="1"/>
    <row r="2852" ht="15.75" hidden="1"/>
    <row r="2853" ht="15.75" hidden="1"/>
    <row r="2854" ht="15.75" hidden="1"/>
    <row r="2855" ht="15.75" hidden="1"/>
    <row r="2856" ht="15.75" hidden="1"/>
    <row r="2857" ht="15.75" hidden="1"/>
    <row r="2858" ht="15.75" hidden="1"/>
    <row r="2859" ht="15.75" hidden="1"/>
    <row r="2860" ht="15.75" hidden="1"/>
    <row r="2861" ht="15.75" hidden="1"/>
    <row r="2862" ht="15.75" hidden="1"/>
    <row r="2863" ht="15.75" hidden="1"/>
    <row r="2864" ht="15.75" hidden="1"/>
    <row r="2865" ht="15.75" hidden="1"/>
    <row r="2866" ht="15.75" hidden="1"/>
    <row r="2867" ht="15.75" hidden="1"/>
    <row r="2868" ht="15.75" hidden="1"/>
    <row r="2869" ht="15.75" hidden="1"/>
    <row r="2870" ht="15.75" hidden="1"/>
    <row r="2871" ht="15.75" hidden="1"/>
    <row r="2872" ht="15.75" hidden="1"/>
    <row r="2873" ht="15.75" hidden="1"/>
    <row r="2874" ht="15.75" hidden="1"/>
    <row r="2875" ht="15.75" hidden="1"/>
    <row r="2876" ht="15.75" hidden="1"/>
    <row r="2877" ht="15.75" hidden="1"/>
    <row r="2878" ht="15.75" hidden="1"/>
    <row r="2879" ht="15.75" hidden="1"/>
    <row r="2880" ht="15.75" hidden="1"/>
    <row r="2881" ht="15.75" hidden="1"/>
    <row r="2882" ht="15.75" hidden="1"/>
    <row r="2883" ht="15.75" hidden="1"/>
    <row r="2884" ht="15.75" hidden="1"/>
    <row r="2885" ht="15.75" hidden="1"/>
    <row r="2886" ht="15.75" hidden="1"/>
    <row r="2887" ht="15.75" hidden="1"/>
    <row r="2888" ht="15.75" hidden="1"/>
    <row r="2889" ht="15.75" hidden="1"/>
    <row r="2890" ht="15.75" hidden="1"/>
    <row r="2891" ht="15.75" hidden="1"/>
    <row r="2892" ht="15.75" hidden="1"/>
    <row r="2893" ht="15.75" hidden="1"/>
    <row r="2894" ht="15.75" hidden="1"/>
    <row r="2895" ht="15.75" hidden="1"/>
    <row r="2896" ht="15.75" hidden="1"/>
    <row r="2897" ht="15.75" hidden="1"/>
    <row r="2898" ht="15.75" hidden="1"/>
    <row r="2899" ht="15.75" hidden="1"/>
    <row r="2900" ht="15.75" hidden="1"/>
    <row r="2901" ht="15.75" hidden="1"/>
    <row r="2902" ht="15.75" hidden="1"/>
    <row r="2903" ht="15.75" hidden="1"/>
    <row r="2904" ht="15.75" hidden="1"/>
    <row r="2905" ht="15.75" hidden="1"/>
    <row r="2906" ht="15.75" hidden="1"/>
    <row r="2907" ht="15.75" hidden="1"/>
    <row r="2908" ht="15.75" hidden="1"/>
    <row r="2909" ht="15.75" hidden="1"/>
    <row r="2910" ht="15.75" hidden="1"/>
    <row r="2911" ht="15.75" hidden="1"/>
    <row r="2912" ht="15.75" hidden="1"/>
    <row r="2913" ht="15.75" hidden="1"/>
    <row r="2914" ht="15.75" hidden="1"/>
    <row r="2915" ht="15.75" hidden="1"/>
    <row r="2916" ht="15.75" hidden="1"/>
    <row r="2917" ht="15.75" hidden="1"/>
    <row r="2918" ht="15.75" hidden="1"/>
    <row r="2919" ht="15.75" hidden="1"/>
    <row r="2920" ht="15.75" hidden="1"/>
    <row r="2921" ht="15.75" hidden="1"/>
    <row r="2922" ht="15.75" hidden="1"/>
    <row r="2923" ht="15.75" hidden="1"/>
    <row r="2924" ht="15.75" hidden="1"/>
    <row r="2925" ht="15.75" hidden="1"/>
    <row r="2926" ht="15.75" hidden="1"/>
    <row r="2927" ht="15.75" hidden="1"/>
    <row r="2928" ht="15.75" hidden="1"/>
    <row r="2929" ht="15.75" hidden="1"/>
    <row r="2930" ht="15.75" hidden="1"/>
    <row r="2931" ht="15.75" hidden="1"/>
    <row r="2932" ht="15.75" hidden="1"/>
    <row r="2933" ht="15.75" hidden="1"/>
    <row r="2934" ht="15.75" hidden="1"/>
    <row r="2935" ht="15.75" hidden="1"/>
    <row r="2936" ht="15.75" hidden="1"/>
    <row r="2937" ht="15.75" hidden="1"/>
    <row r="2938" ht="15.75" hidden="1"/>
    <row r="2939" ht="15.75" hidden="1"/>
    <row r="2940" ht="15.75" hidden="1"/>
    <row r="2941" ht="15.75" hidden="1"/>
    <row r="2942" ht="15.75" hidden="1"/>
    <row r="2943" ht="15.75" hidden="1"/>
    <row r="2944" ht="15.75" hidden="1"/>
    <row r="2945" ht="15.75" hidden="1"/>
    <row r="2946" ht="15.75" hidden="1"/>
    <row r="2947" ht="15.75" hidden="1"/>
    <row r="2948" ht="15.75" hidden="1"/>
    <row r="2949" ht="15.75" hidden="1"/>
    <row r="2950" ht="15.75" hidden="1"/>
    <row r="2951" ht="15.75" hidden="1"/>
    <row r="2952" ht="15.75" hidden="1"/>
    <row r="2953" ht="15.75" hidden="1"/>
    <row r="2954" ht="15.75" hidden="1"/>
    <row r="2955" ht="15.75" hidden="1"/>
    <row r="2956" ht="15.75" hidden="1"/>
    <row r="2957" ht="15.75" hidden="1"/>
    <row r="2958" ht="15.75" hidden="1"/>
    <row r="2959" ht="15.75" hidden="1"/>
    <row r="2960" ht="15.75" hidden="1"/>
    <row r="2961" ht="15.75" hidden="1"/>
    <row r="2962" ht="15.75" hidden="1"/>
    <row r="2963" ht="15.75" hidden="1"/>
    <row r="2964" ht="15.75" hidden="1"/>
    <row r="2965" ht="15.75" hidden="1"/>
    <row r="2966" ht="15.75" hidden="1"/>
    <row r="2967" ht="15.75" hidden="1"/>
    <row r="2968" ht="15.75" hidden="1"/>
    <row r="2969" ht="15.75" hidden="1"/>
    <row r="2970" ht="15.75" hidden="1"/>
    <row r="2971" ht="15.75" hidden="1"/>
    <row r="2972" ht="15.75" hidden="1"/>
    <row r="2973" ht="15.75" hidden="1"/>
    <row r="2974" ht="15.75" hidden="1"/>
    <row r="2975" ht="15.75" hidden="1"/>
    <row r="2976" ht="15.75" hidden="1"/>
    <row r="2977" ht="15.75" hidden="1"/>
    <row r="2978" ht="15.75" hidden="1"/>
    <row r="2979" ht="15.75" hidden="1"/>
    <row r="2980" ht="15.75" hidden="1"/>
    <row r="2981" ht="15.75" hidden="1"/>
    <row r="2982" ht="15.75" hidden="1"/>
    <row r="2983" ht="15.75" hidden="1"/>
    <row r="2984" ht="15.75" hidden="1"/>
    <row r="2985" ht="15.75" hidden="1"/>
    <row r="2986" ht="15.75" hidden="1"/>
    <row r="2987" ht="15.75" hidden="1"/>
    <row r="2988" ht="15.75" hidden="1"/>
    <row r="2989" ht="15.75" hidden="1"/>
    <row r="2990" ht="15.75" hidden="1"/>
    <row r="2991" ht="15.75" hidden="1"/>
    <row r="2992" ht="15.75" hidden="1"/>
    <row r="2993" ht="15.75" hidden="1"/>
    <row r="2994" ht="15.75" hidden="1"/>
    <row r="2995" ht="15.75" hidden="1"/>
    <row r="2996" ht="15.75" hidden="1"/>
    <row r="2997" ht="15.75" hidden="1"/>
    <row r="2998" ht="15.75" hidden="1"/>
    <row r="2999" ht="15.75" hidden="1"/>
    <row r="3000" ht="15.75" hidden="1"/>
    <row r="3001" ht="15.75" hidden="1"/>
    <row r="3002" ht="15.75" hidden="1"/>
    <row r="3003" ht="15.75" hidden="1"/>
    <row r="3004" ht="15.75" hidden="1"/>
    <row r="3005" ht="15.75" hidden="1"/>
    <row r="3006" ht="15.75" hidden="1"/>
    <row r="3007" ht="15.75" hidden="1"/>
    <row r="3008" ht="15.75" hidden="1"/>
    <row r="3009" ht="15.75" hidden="1"/>
    <row r="3010" ht="15.75" hidden="1"/>
    <row r="3011" ht="15.75" hidden="1"/>
    <row r="3012" ht="15.75" hidden="1"/>
    <row r="3013" ht="15.75" hidden="1"/>
    <row r="3014" ht="15.75" hidden="1"/>
    <row r="3015" ht="15.75" hidden="1"/>
    <row r="3016" ht="15.75" hidden="1"/>
    <row r="3017" ht="15.75" hidden="1"/>
    <row r="3018" ht="15.75" hidden="1"/>
    <row r="3019" ht="15.75" hidden="1"/>
    <row r="3020" ht="15.75" hidden="1"/>
    <row r="3021" ht="15.75" hidden="1"/>
    <row r="3022" ht="15.75" hidden="1"/>
    <row r="3023" ht="15.75" hidden="1"/>
    <row r="3024" ht="15.75" hidden="1"/>
    <row r="3025" ht="15.75" hidden="1"/>
    <row r="3026" ht="15.75" hidden="1"/>
    <row r="3027" ht="15.75" hidden="1"/>
    <row r="3028" ht="15.75" hidden="1"/>
    <row r="3029" ht="15.75" hidden="1"/>
    <row r="3030" ht="15.75" hidden="1"/>
    <row r="3031" ht="15.75" hidden="1"/>
    <row r="3032" ht="15.75" hidden="1"/>
    <row r="3033" ht="15.75" hidden="1"/>
    <row r="3034" ht="15.75" hidden="1"/>
    <row r="3035" ht="15.75" hidden="1"/>
    <row r="3036" ht="15.75" hidden="1"/>
    <row r="3037" ht="15.75" hidden="1"/>
    <row r="3038" ht="15.75" hidden="1"/>
    <row r="3039" ht="15.75" hidden="1"/>
    <row r="3040" ht="15.75" hidden="1"/>
    <row r="3041" ht="15.75" hidden="1"/>
    <row r="3042" ht="15.75" hidden="1"/>
    <row r="3043" ht="15.75" hidden="1"/>
    <row r="3044" ht="15.75" hidden="1"/>
    <row r="3045" ht="15.75" hidden="1"/>
    <row r="3046" ht="15.75" hidden="1"/>
    <row r="3047" ht="15.75" hidden="1"/>
    <row r="3048" ht="15.75" hidden="1"/>
    <row r="3049" ht="15.75" hidden="1"/>
    <row r="3050" ht="15.75" hidden="1"/>
    <row r="3051" ht="15.75" hidden="1"/>
    <row r="3052" ht="15.75" hidden="1"/>
    <row r="3053" ht="15.75" hidden="1"/>
    <row r="3054" ht="15.75" hidden="1"/>
    <row r="3055" ht="15.75" hidden="1"/>
    <row r="3056" ht="15.75" hidden="1"/>
    <row r="3057" ht="15.75" hidden="1"/>
    <row r="3058" ht="15.75" hidden="1"/>
    <row r="3059" ht="15.75" hidden="1"/>
    <row r="3060" ht="15.75" hidden="1"/>
    <row r="3061" ht="15.75" hidden="1"/>
    <row r="3062" ht="15.75" hidden="1"/>
    <row r="3063" ht="15.75" hidden="1"/>
    <row r="3064" ht="15.75" hidden="1"/>
    <row r="3065" ht="15.75" hidden="1"/>
    <row r="3066" ht="15.75" hidden="1"/>
    <row r="3067" ht="15.75" hidden="1"/>
    <row r="3068" ht="15.75" hidden="1"/>
    <row r="3069" ht="15.75" hidden="1"/>
    <row r="3070" ht="15.75" hidden="1"/>
    <row r="3071" ht="15.75" hidden="1"/>
    <row r="3072" ht="15.75" hidden="1"/>
    <row r="3073" ht="15.75" hidden="1"/>
    <row r="3074" ht="15.75" hidden="1"/>
    <row r="3075" ht="15.75" hidden="1"/>
    <row r="3076" ht="15.75" hidden="1"/>
    <row r="3077" ht="15.75" hidden="1"/>
    <row r="3078" ht="15.75" hidden="1"/>
    <row r="3079" ht="15.75" hidden="1"/>
    <row r="3080" ht="15.75" hidden="1"/>
    <row r="3081" ht="15.75" hidden="1"/>
    <row r="3082" ht="15.75" hidden="1"/>
    <row r="3083" ht="15.75" hidden="1"/>
    <row r="3084" ht="15.75" hidden="1"/>
    <row r="3085" ht="15.75" hidden="1"/>
    <row r="3086" ht="15.75" hidden="1"/>
    <row r="3087" ht="15.75" hidden="1"/>
    <row r="3088" ht="15.75" hidden="1"/>
    <row r="3089" ht="15.75" hidden="1"/>
    <row r="3090" ht="15.75" hidden="1"/>
    <row r="3091" ht="15.75" hidden="1"/>
    <row r="3092" ht="15.75" hidden="1"/>
    <row r="3093" ht="15.75" hidden="1"/>
    <row r="3094" ht="15.75" hidden="1"/>
    <row r="3095" ht="15.75" hidden="1"/>
    <row r="3096" ht="15.75" hidden="1"/>
    <row r="3097" ht="15.75" hidden="1"/>
    <row r="3098" ht="15.75" hidden="1"/>
    <row r="3099" ht="15.75" hidden="1"/>
    <row r="3100" ht="15.75" hidden="1"/>
    <row r="3101" ht="15.75" hidden="1"/>
    <row r="3102" ht="15.75" hidden="1"/>
    <row r="3103" ht="15.75" hidden="1"/>
    <row r="3104" ht="15.75" hidden="1"/>
    <row r="3105" ht="15.75" hidden="1"/>
    <row r="3106" ht="15.75" hidden="1"/>
    <row r="3107" ht="15.75" hidden="1"/>
    <row r="3108" ht="15.75" hidden="1"/>
    <row r="3109" ht="15.75" hidden="1"/>
    <row r="3110" ht="15.75" hidden="1"/>
    <row r="3111" ht="15.75" hidden="1"/>
    <row r="3112" ht="15.75" hidden="1"/>
    <row r="3113" ht="15.75" hidden="1"/>
    <row r="3114" ht="15.75" hidden="1"/>
    <row r="3115" ht="15.75" hidden="1"/>
    <row r="3116" ht="15.75" hidden="1"/>
    <row r="3117" ht="15.75" hidden="1"/>
    <row r="3118" ht="15.75" hidden="1"/>
    <row r="3119" ht="15.75" hidden="1"/>
    <row r="3120" ht="15.75" hidden="1"/>
    <row r="3121" ht="15.75" hidden="1"/>
    <row r="3122" ht="15.75" hidden="1"/>
    <row r="3123" ht="15.75" hidden="1"/>
    <row r="3124" ht="15.75" hidden="1"/>
    <row r="3125" ht="15.75" hidden="1"/>
    <row r="3126" ht="15.75" hidden="1"/>
    <row r="3127" ht="15.75" hidden="1"/>
    <row r="3128" ht="15.75" hidden="1"/>
    <row r="3129" ht="15.75" hidden="1"/>
    <row r="3130" ht="15.75" hidden="1"/>
    <row r="3131" ht="15.75" hidden="1"/>
    <row r="3132" ht="15.75" hidden="1"/>
    <row r="3133" ht="15.75" hidden="1"/>
    <row r="3134" ht="15.75" hidden="1"/>
    <row r="3135" ht="15.75" hidden="1"/>
    <row r="3136" ht="15.75" hidden="1"/>
    <row r="3137" ht="15.75" hidden="1"/>
    <row r="3138" ht="15.75" hidden="1"/>
    <row r="3139" ht="15.75" hidden="1"/>
    <row r="3140" ht="15.75" hidden="1"/>
    <row r="3141" ht="15.75" hidden="1"/>
    <row r="3142" ht="15.75" hidden="1"/>
    <row r="3143" ht="15.75" hidden="1"/>
    <row r="3144" ht="15.75" hidden="1"/>
    <row r="3145" ht="15.75" hidden="1"/>
    <row r="3146" ht="15.75" hidden="1"/>
    <row r="3147" ht="15.75" hidden="1"/>
    <row r="3148" ht="15.75" hidden="1"/>
    <row r="3149" ht="15.75" hidden="1"/>
    <row r="3150" ht="15.75" hidden="1"/>
    <row r="3151" ht="15.75" hidden="1"/>
    <row r="3152" ht="15.75" hidden="1"/>
    <row r="3153" ht="15.75" hidden="1"/>
    <row r="3154" ht="15.75" hidden="1"/>
    <row r="3155" ht="15.75" hidden="1"/>
    <row r="3156" ht="15.75" hidden="1"/>
    <row r="3157" ht="15.75" hidden="1"/>
    <row r="3158" ht="15.75" hidden="1"/>
    <row r="3159" ht="15.75" hidden="1"/>
    <row r="3160" ht="15.75" hidden="1"/>
    <row r="3161" ht="15.75" hidden="1"/>
    <row r="3162" ht="15.75" hidden="1"/>
    <row r="3163" ht="15.75" hidden="1"/>
    <row r="3164" ht="15.75" hidden="1"/>
    <row r="3165" ht="15.75" hidden="1"/>
    <row r="3166" ht="15.75" hidden="1"/>
    <row r="3167" ht="15.75" hidden="1"/>
    <row r="3168" ht="15.75" hidden="1"/>
    <row r="3169" ht="15.75" hidden="1"/>
    <row r="3170" ht="15.75" hidden="1"/>
    <row r="3171" ht="15.75" hidden="1"/>
    <row r="3172" ht="15.75" hidden="1"/>
    <row r="3173" ht="15.75" hidden="1"/>
    <row r="3174" ht="15.75" hidden="1"/>
    <row r="3175" ht="15.75" hidden="1"/>
    <row r="3176" ht="15.75" hidden="1"/>
    <row r="3177" ht="15.75" hidden="1"/>
    <row r="3178" ht="15.75" hidden="1"/>
    <row r="3179" ht="15.75" hidden="1"/>
    <row r="3180" ht="15.75" hidden="1"/>
    <row r="3181" ht="15.75" hidden="1"/>
    <row r="3182" ht="15.75" hidden="1"/>
    <row r="3183" ht="15.75" hidden="1"/>
    <row r="3184" ht="15.75" hidden="1"/>
    <row r="3185" ht="15.75" hidden="1"/>
    <row r="3186" ht="15.75" hidden="1"/>
    <row r="3187" ht="15.75" hidden="1"/>
    <row r="3188" ht="15.75" hidden="1"/>
    <row r="3189" ht="15.75" hidden="1"/>
    <row r="3190" ht="15.75" hidden="1"/>
    <row r="3191" ht="15.75" hidden="1"/>
    <row r="3192" ht="15.75" hidden="1"/>
    <row r="3193" ht="15.75" hidden="1"/>
    <row r="3194" ht="15.75" hidden="1"/>
    <row r="3195" ht="15.75" hidden="1"/>
    <row r="3196" ht="15.75" hidden="1"/>
    <row r="3197" ht="15.75" hidden="1"/>
    <row r="3198" ht="15.75" hidden="1"/>
    <row r="3199" ht="15.75" hidden="1"/>
    <row r="3200" ht="15.75" hidden="1"/>
    <row r="3201" ht="15.75" hidden="1"/>
    <row r="3202" ht="15.75" hidden="1"/>
    <row r="3203" ht="15.75" hidden="1"/>
    <row r="3204" ht="15.75" hidden="1"/>
    <row r="3205" ht="15.75" hidden="1"/>
    <row r="3206" ht="15.75" hidden="1"/>
    <row r="3207" ht="15.75" hidden="1"/>
    <row r="3208" ht="15.75" hidden="1"/>
    <row r="3209" ht="15.75" hidden="1"/>
    <row r="3210" ht="15.75" hidden="1"/>
    <row r="3211" ht="15.75" hidden="1"/>
    <row r="3212" ht="15.75" hidden="1"/>
    <row r="3213" ht="15.75" hidden="1"/>
    <row r="3214" ht="15.75" hidden="1"/>
    <row r="3215" ht="15.75" hidden="1"/>
    <row r="3216" ht="15.75" hidden="1"/>
    <row r="3217" ht="15.75" hidden="1"/>
    <row r="3218" ht="15.75" hidden="1"/>
    <row r="3219" ht="15.75" hidden="1"/>
    <row r="3220" ht="15.75" hidden="1"/>
    <row r="3221" ht="15.75" hidden="1"/>
    <row r="3222" ht="15.75" hidden="1"/>
    <row r="3223" ht="15.75" hidden="1"/>
    <row r="3224" ht="15.75" hidden="1"/>
    <row r="3225" ht="15.75" hidden="1"/>
    <row r="3226" ht="15.75" hidden="1"/>
    <row r="3227" ht="15.75" hidden="1"/>
    <row r="3228" ht="15.75" hidden="1"/>
    <row r="3229" ht="15.75" hidden="1"/>
    <row r="3230" ht="15.75" hidden="1"/>
    <row r="3231" ht="15.75" hidden="1"/>
    <row r="3232" ht="15.75" hidden="1"/>
    <row r="3233" ht="15.75" hidden="1"/>
    <row r="3234" ht="15.75" hidden="1"/>
    <row r="3235" ht="15.75" hidden="1"/>
    <row r="3236" ht="15.75" hidden="1"/>
    <row r="3237" ht="15.75" hidden="1"/>
    <row r="3238" ht="15.75" hidden="1"/>
    <row r="3239" ht="15.75" hidden="1"/>
    <row r="3240" ht="15.75" hidden="1"/>
    <row r="3241" ht="15.75" hidden="1"/>
    <row r="3242" ht="15.75" hidden="1"/>
    <row r="3243" ht="15.75" hidden="1"/>
    <row r="3244" ht="15.75" hidden="1"/>
    <row r="3245" ht="15.75" hidden="1"/>
    <row r="3246" ht="15.75" hidden="1"/>
    <row r="3247" ht="15.75" hidden="1"/>
    <row r="3248" ht="15.75" hidden="1"/>
    <row r="3249" ht="15.75" hidden="1"/>
    <row r="3250" ht="15.75" hidden="1"/>
    <row r="3251" ht="15.75" hidden="1"/>
    <row r="3252" ht="15.75" hidden="1"/>
    <row r="3253" ht="15.75" hidden="1"/>
    <row r="3254" ht="15.75" hidden="1"/>
    <row r="3255" ht="15.75" hidden="1"/>
    <row r="3256" ht="15.75" hidden="1"/>
    <row r="3257" ht="15.75" hidden="1"/>
    <row r="3258" ht="15.75" hidden="1"/>
    <row r="3259" ht="15.75" hidden="1"/>
    <row r="3260" ht="15.75" hidden="1"/>
    <row r="3261" ht="15.75" hidden="1"/>
    <row r="3262" ht="15.75" hidden="1"/>
    <row r="3263" ht="15.75" hidden="1"/>
    <row r="3264" ht="15.75" hidden="1"/>
    <row r="3265" ht="15.75" hidden="1"/>
    <row r="3266" ht="15.75" hidden="1"/>
    <row r="3267" ht="15.75" hidden="1"/>
    <row r="3268" ht="15.75" hidden="1"/>
    <row r="3269" ht="15.75" hidden="1"/>
    <row r="3270" ht="15.75" hidden="1"/>
    <row r="3271" ht="15.75" hidden="1"/>
    <row r="3272" ht="15.75" hidden="1"/>
    <row r="3273" ht="15.75" hidden="1"/>
    <row r="3274" ht="15.75" hidden="1"/>
    <row r="3275" ht="15.75" hidden="1"/>
    <row r="3276" ht="15.75" hidden="1"/>
    <row r="3277" ht="15.75" hidden="1"/>
    <row r="3278" ht="15.75" hidden="1"/>
    <row r="3279" ht="15.75" hidden="1"/>
    <row r="3280" ht="15.75" hidden="1"/>
    <row r="3281" ht="15.75" hidden="1"/>
    <row r="3282" ht="15.75" hidden="1"/>
    <row r="3283" ht="15.75" hidden="1"/>
    <row r="3284" ht="15.75" hidden="1"/>
    <row r="3285" ht="15.75" hidden="1"/>
    <row r="3286" ht="15.75" hidden="1"/>
    <row r="3287" ht="15.75" hidden="1"/>
    <row r="3288" ht="15.75" hidden="1"/>
    <row r="3289" ht="15.75" hidden="1"/>
    <row r="3290" ht="15.75" hidden="1"/>
    <row r="3291" ht="15.75" hidden="1"/>
    <row r="3292" ht="15.75" hidden="1"/>
    <row r="3293" ht="15.75" hidden="1"/>
    <row r="3294" ht="15.75" hidden="1"/>
    <row r="3295" ht="15.75" hidden="1"/>
    <row r="3296" ht="15.75" hidden="1"/>
    <row r="3297" ht="15.75" hidden="1"/>
    <row r="3298" ht="15.75" hidden="1"/>
    <row r="3299" ht="15.75" hidden="1"/>
    <row r="3300" ht="15.75" hidden="1"/>
    <row r="3301" ht="15.75" hidden="1"/>
    <row r="3302" ht="15.75" hidden="1"/>
    <row r="3303" ht="15.75" hidden="1"/>
    <row r="3304" ht="15.75" hidden="1"/>
    <row r="3305" ht="15.75" hidden="1"/>
    <row r="3306" ht="15.75" hidden="1"/>
    <row r="3307" ht="15.75" hidden="1"/>
    <row r="3308" ht="15.75" hidden="1"/>
    <row r="3309" ht="15.75" hidden="1"/>
    <row r="3310" ht="15.75" hidden="1"/>
    <row r="3311" ht="15.75" hidden="1"/>
    <row r="3312" ht="15.75" hidden="1"/>
    <row r="3313" ht="15.75" hidden="1"/>
    <row r="3314" ht="15.75" hidden="1"/>
    <row r="3315" ht="15.75" hidden="1"/>
    <row r="3316" ht="15.75" hidden="1"/>
    <row r="3317" ht="15.75" hidden="1"/>
    <row r="3318" ht="15.75" hidden="1"/>
    <row r="3319" ht="15.75" hidden="1"/>
    <row r="3320" ht="15.75" hidden="1"/>
    <row r="3321" ht="15.75" hidden="1"/>
    <row r="3322" ht="15.75" hidden="1"/>
    <row r="3323" ht="15.75" hidden="1"/>
    <row r="3324" ht="15.75" hidden="1"/>
    <row r="3325" ht="15.75" hidden="1"/>
    <row r="3326" ht="15.75" hidden="1"/>
    <row r="3327" ht="15.75" hidden="1"/>
    <row r="3328" ht="15.75" hidden="1"/>
    <row r="3329" ht="15.75" hidden="1"/>
    <row r="3330" ht="15.75" hidden="1"/>
    <row r="3331" ht="15.75" hidden="1"/>
    <row r="3332" ht="15.75" hidden="1"/>
    <row r="3333" ht="15.75" hidden="1"/>
    <row r="3334" ht="15.75" hidden="1"/>
    <row r="3335" ht="15.75" hidden="1"/>
    <row r="3336" ht="15.75" hidden="1"/>
    <row r="3337" ht="15.75" hidden="1"/>
    <row r="3338" ht="15.75" hidden="1"/>
    <row r="3339" ht="15.75" hidden="1"/>
    <row r="3340" ht="15.75" hidden="1"/>
    <row r="3341" ht="15.75" hidden="1"/>
    <row r="3342" ht="15.75" hidden="1"/>
    <row r="3343" ht="15.75" hidden="1"/>
    <row r="3344" ht="15.75" hidden="1"/>
    <row r="3345" ht="15.75" hidden="1"/>
    <row r="3346" ht="15.75" hidden="1"/>
    <row r="3347" ht="15.75" hidden="1"/>
    <row r="3348" ht="15.75" hidden="1"/>
    <row r="3349" ht="15.75" hidden="1"/>
    <row r="3350" ht="15.75" hidden="1"/>
    <row r="3351" ht="15.75" hidden="1"/>
    <row r="3352" ht="15.75" hidden="1"/>
    <row r="3353" ht="15.75" hidden="1"/>
    <row r="3354" ht="15.75" hidden="1"/>
    <row r="3355" ht="15.75" hidden="1"/>
    <row r="3356" ht="15.75" hidden="1"/>
    <row r="3357" ht="15.75" hidden="1"/>
    <row r="3358" ht="15.75" hidden="1"/>
    <row r="3359" ht="15.75" hidden="1"/>
    <row r="3360" ht="15.75" hidden="1"/>
    <row r="3361" ht="15.75" hidden="1"/>
    <row r="3362" ht="15.75" hidden="1"/>
    <row r="3363" ht="15.75" hidden="1"/>
    <row r="3364" ht="15.75" hidden="1"/>
    <row r="3365" ht="15.75" hidden="1"/>
    <row r="3366" ht="15.75" hidden="1"/>
    <row r="3367" ht="15.75" hidden="1"/>
    <row r="3368" ht="15.75" hidden="1"/>
    <row r="3369" ht="15.75" hidden="1"/>
    <row r="3370" ht="15.75" hidden="1"/>
    <row r="3371" ht="15.75" hidden="1"/>
    <row r="3372" ht="15.75" hidden="1"/>
    <row r="3373" ht="15.75" hidden="1"/>
    <row r="3374" ht="15.75" hidden="1"/>
    <row r="3375" ht="15.75" hidden="1"/>
    <row r="3376" ht="15.75" hidden="1"/>
    <row r="3377" ht="15.75" hidden="1"/>
    <row r="3378" ht="15.75" hidden="1"/>
    <row r="3379" ht="15.75" hidden="1"/>
    <row r="3380" ht="15.75" hidden="1"/>
    <row r="3381" ht="15.75" hidden="1"/>
    <row r="3382" ht="15.75" hidden="1"/>
    <row r="3383" ht="15.75" hidden="1"/>
    <row r="3384" ht="15.75" hidden="1"/>
    <row r="3385" ht="15.75" hidden="1"/>
    <row r="3386" ht="15.75" hidden="1"/>
    <row r="3387" ht="15.75" hidden="1"/>
    <row r="3388" ht="15.75" hidden="1"/>
    <row r="3389" ht="15.75" hidden="1"/>
    <row r="3390" ht="15.75" hidden="1"/>
    <row r="3391" ht="15.75" hidden="1"/>
    <row r="3392" ht="15.75" hidden="1"/>
    <row r="3393" ht="15.75" hidden="1"/>
    <row r="3394" ht="15.75" hidden="1"/>
    <row r="3395" ht="15.75" hidden="1"/>
    <row r="3396" ht="15.75" hidden="1"/>
    <row r="3397" ht="15.75" hidden="1"/>
    <row r="3398" ht="15.75" hidden="1"/>
    <row r="3399" ht="15.75" hidden="1"/>
    <row r="3400" ht="15.75" hidden="1"/>
    <row r="3401" ht="15.75" hidden="1"/>
    <row r="3402" ht="15.75" hidden="1"/>
    <row r="3403" ht="15.75" hidden="1"/>
    <row r="3404" ht="15.75" hidden="1"/>
    <row r="3405" ht="15.75" hidden="1"/>
    <row r="3406" ht="15.75" hidden="1"/>
    <row r="3407" ht="15.75" hidden="1"/>
    <row r="3408" ht="15.75" hidden="1"/>
    <row r="3409" ht="15.75" hidden="1"/>
    <row r="3410" ht="15.75" hidden="1"/>
    <row r="3411" ht="15.75" hidden="1"/>
    <row r="3412" ht="15.75" hidden="1"/>
    <row r="3413" ht="15.75" hidden="1"/>
    <row r="3414" ht="15.75" hidden="1"/>
    <row r="3415" ht="15.75" hidden="1"/>
    <row r="3416" ht="15.75" hidden="1"/>
    <row r="3417" ht="15.75" hidden="1"/>
    <row r="3418" ht="15.75" hidden="1"/>
    <row r="3419" ht="15.75" hidden="1"/>
    <row r="3420" ht="15.75" hidden="1"/>
    <row r="3421" ht="15.75" hidden="1"/>
    <row r="3422" ht="15.75" hidden="1"/>
    <row r="3423" ht="15.75" hidden="1"/>
    <row r="3424" ht="15.75" hidden="1"/>
    <row r="3425" ht="15.75" hidden="1"/>
    <row r="3426" ht="15.75" hidden="1"/>
    <row r="3427" ht="15.75" hidden="1"/>
    <row r="3428" ht="15.75" hidden="1"/>
    <row r="3429" ht="15.75" hidden="1"/>
    <row r="3430" ht="15.75" hidden="1"/>
    <row r="3431" ht="15.75" hidden="1"/>
    <row r="3432" ht="15.75" hidden="1"/>
    <row r="3433" ht="15.75" hidden="1"/>
    <row r="3434" ht="15.75" hidden="1"/>
    <row r="3435" ht="15.75" hidden="1"/>
    <row r="3436" ht="15.75" hidden="1"/>
    <row r="3437" ht="15.75" hidden="1"/>
    <row r="3438" ht="15.75" hidden="1"/>
    <row r="3439" ht="15.75" hidden="1"/>
    <row r="3440" ht="15.75" hidden="1"/>
    <row r="3441" ht="15.75" hidden="1"/>
    <row r="3442" ht="15.75" hidden="1"/>
    <row r="3443" ht="15.75" hidden="1"/>
    <row r="3444" ht="15.75" hidden="1"/>
    <row r="3445" ht="15.75" hidden="1"/>
    <row r="3446" ht="15.75" hidden="1"/>
    <row r="3447" ht="15.75" hidden="1"/>
    <row r="3448" ht="15.75" hidden="1"/>
    <row r="3449" ht="15.75" hidden="1"/>
    <row r="3450" ht="15.75" hidden="1"/>
    <row r="3451" ht="15.75" hidden="1"/>
    <row r="3452" ht="15.75" hidden="1"/>
    <row r="3453" ht="15.75" hidden="1"/>
    <row r="3454" ht="15.75" hidden="1"/>
    <row r="3455" ht="15.75" hidden="1"/>
    <row r="3456" ht="15.75" hidden="1"/>
    <row r="3457" ht="15.75" hidden="1"/>
    <row r="3458" ht="15.75" hidden="1"/>
    <row r="3459" ht="15.75" hidden="1"/>
    <row r="3460" ht="15.75" hidden="1"/>
    <row r="3461" ht="15.75" hidden="1"/>
    <row r="3462" ht="15.75" hidden="1"/>
    <row r="3463" ht="15.75" hidden="1"/>
    <row r="3464" ht="15.75" hidden="1"/>
    <row r="3465" ht="15.75" hidden="1"/>
    <row r="3466" ht="15.75" hidden="1"/>
    <row r="3467" ht="15.75" hidden="1"/>
    <row r="3468" ht="15.75" hidden="1"/>
    <row r="3469" ht="15.75" hidden="1"/>
    <row r="3470" ht="15.75" hidden="1"/>
    <row r="3471" ht="15.75" hidden="1"/>
    <row r="3472" ht="15.75" hidden="1"/>
    <row r="3473" ht="15.75" hidden="1"/>
    <row r="3474" ht="15.75" hidden="1"/>
    <row r="3475" ht="15.75" hidden="1"/>
    <row r="3476" ht="15.75" hidden="1"/>
    <row r="3477" ht="15.75" hidden="1"/>
    <row r="3478" ht="15.75" hidden="1"/>
    <row r="3479" ht="15.75" hidden="1"/>
    <row r="3480" ht="15.75" hidden="1"/>
    <row r="3481" ht="15.75" hidden="1"/>
    <row r="3482" ht="15.75" hidden="1"/>
    <row r="3483" ht="15.75" hidden="1"/>
    <row r="3484" ht="15.75" hidden="1"/>
    <row r="3485" ht="15.75" hidden="1"/>
    <row r="3486" ht="15.75" hidden="1"/>
    <row r="3487" ht="15.75" hidden="1"/>
    <row r="3488" ht="15.75" hidden="1"/>
    <row r="3489" ht="15.75" hidden="1"/>
    <row r="3490" ht="15.75" hidden="1"/>
    <row r="3491" ht="15.75" hidden="1"/>
    <row r="3492" ht="15.75" hidden="1"/>
    <row r="3493" ht="15.75" hidden="1"/>
    <row r="3494" ht="15.75" hidden="1"/>
    <row r="3495" ht="15.75" hidden="1"/>
    <row r="3496" ht="15.75" hidden="1"/>
    <row r="3497" ht="15.75" hidden="1"/>
    <row r="3498" ht="15.75" hidden="1"/>
    <row r="3499" ht="15.75" hidden="1"/>
    <row r="3500" ht="15.75" hidden="1"/>
    <row r="3501" ht="15.75" hidden="1"/>
    <row r="3502" ht="15.75" hidden="1"/>
    <row r="3503" ht="15.75" hidden="1"/>
    <row r="3504" ht="15.75" hidden="1"/>
    <row r="3505" ht="15.75" hidden="1"/>
    <row r="3506" ht="15.75" hidden="1"/>
    <row r="3507" ht="15.75" hidden="1"/>
    <row r="3508" ht="15.75" hidden="1"/>
    <row r="3509" ht="15.75" hidden="1"/>
    <row r="3510" ht="15.75" hidden="1"/>
    <row r="3511" ht="15.75" hidden="1"/>
    <row r="3512" ht="15.75" hidden="1"/>
    <row r="3513" ht="15.75" hidden="1"/>
    <row r="3514" ht="15.75" hidden="1"/>
    <row r="3515" ht="15.75" hidden="1"/>
    <row r="3516" ht="15.75" hidden="1"/>
    <row r="3517" ht="15.75" hidden="1"/>
    <row r="3518" ht="15.75" hidden="1"/>
    <row r="3519" ht="15.75" hidden="1"/>
    <row r="3520" ht="15.75" hidden="1"/>
    <row r="3521" ht="15.75" hidden="1"/>
    <row r="3522" ht="15.75" hidden="1"/>
    <row r="3523" ht="15.75" hidden="1"/>
    <row r="3524" ht="15.75" hidden="1"/>
    <row r="3525" ht="15.75" hidden="1"/>
    <row r="3526" ht="15.75" hidden="1"/>
    <row r="3527" ht="15.75" hidden="1"/>
    <row r="3528" ht="15.75" hidden="1"/>
    <row r="3529" ht="15.75" hidden="1"/>
    <row r="3530" ht="15.75" hidden="1"/>
    <row r="3531" ht="15.75" hidden="1"/>
    <row r="3532" ht="15.75" hidden="1"/>
    <row r="3533" ht="15.75" hidden="1"/>
    <row r="3534" ht="15.75" hidden="1"/>
    <row r="3535" ht="15.75" hidden="1"/>
    <row r="3536" ht="15.75" hidden="1"/>
    <row r="3537" ht="15.75" hidden="1"/>
    <row r="3538" ht="15.75" hidden="1"/>
    <row r="3539" ht="15.75" hidden="1"/>
    <row r="3540" ht="15.75" hidden="1"/>
    <row r="3541" ht="15.75" hidden="1"/>
    <row r="3542" ht="15.75" hidden="1"/>
    <row r="3543" ht="15.75" hidden="1"/>
    <row r="3544" ht="15.75" hidden="1"/>
    <row r="3545" ht="15.75" hidden="1"/>
    <row r="3546" ht="15.75" hidden="1"/>
    <row r="3547" ht="15.75" hidden="1"/>
    <row r="3548" ht="15.75" hidden="1"/>
    <row r="3549" ht="15.75" hidden="1"/>
    <row r="3550" ht="15.75" hidden="1"/>
    <row r="3551" ht="15.75" hidden="1"/>
    <row r="3552" ht="15.75" hidden="1"/>
    <row r="3553" ht="15.75" hidden="1"/>
    <row r="3554" ht="15.75" hidden="1"/>
    <row r="3555" ht="15.75" hidden="1"/>
    <row r="3556" ht="15.75" hidden="1"/>
    <row r="3557" ht="15.75" hidden="1"/>
    <row r="3558" ht="15.75" hidden="1"/>
    <row r="3559" ht="15.75" hidden="1"/>
    <row r="3560" ht="15.75" hidden="1"/>
    <row r="3561" ht="15.75" hidden="1"/>
    <row r="3562" ht="15.75" hidden="1"/>
    <row r="3563" ht="15.75" hidden="1"/>
    <row r="3564" ht="15.75" hidden="1"/>
    <row r="3565" ht="15.75" hidden="1"/>
    <row r="3566" ht="15.75" hidden="1"/>
    <row r="3567" ht="15.75" hidden="1"/>
    <row r="3568" ht="15.75" hidden="1"/>
    <row r="3569" ht="15.75" hidden="1"/>
    <row r="3570" ht="15.75" hidden="1"/>
    <row r="3571" ht="15.75" hidden="1"/>
    <row r="3572" ht="15.75" hidden="1"/>
    <row r="3573" ht="15.75" hidden="1"/>
    <row r="3574" ht="15.75" hidden="1"/>
    <row r="3575" ht="15.75" hidden="1"/>
    <row r="3576" ht="15.75" hidden="1"/>
    <row r="3577" ht="15.75" hidden="1"/>
    <row r="3578" ht="15.75" hidden="1"/>
    <row r="3579" ht="15.75" hidden="1"/>
    <row r="3580" ht="15.75" hidden="1"/>
    <row r="3581" ht="15.75" hidden="1"/>
    <row r="3582" ht="15.75" hidden="1"/>
    <row r="3583" ht="15.75" hidden="1"/>
    <row r="3584" ht="15.75" hidden="1"/>
    <row r="3585" ht="15.75" hidden="1"/>
    <row r="3586" ht="15.75" hidden="1"/>
    <row r="3587" ht="15.75" hidden="1"/>
    <row r="3588" ht="15.75" hidden="1"/>
    <row r="3589" ht="15.75" hidden="1"/>
    <row r="3590" ht="15.75" hidden="1"/>
    <row r="3591" ht="15.75" hidden="1"/>
    <row r="3592" ht="15.75" hidden="1"/>
    <row r="3593" ht="15.75" hidden="1"/>
    <row r="3594" ht="15.75" hidden="1"/>
    <row r="3595" ht="15.75" hidden="1"/>
    <row r="3596" ht="15.75" hidden="1"/>
    <row r="3597" ht="15.75" hidden="1"/>
    <row r="3598" ht="15.75" hidden="1"/>
    <row r="3599" ht="15.75" hidden="1"/>
    <row r="3600" ht="15.75" hidden="1"/>
    <row r="3601" ht="15.75" hidden="1"/>
    <row r="3602" ht="15.75" hidden="1"/>
    <row r="3603" ht="15.75" hidden="1"/>
    <row r="3604" ht="15.75" hidden="1"/>
    <row r="3605" ht="15.75" hidden="1"/>
    <row r="3606" ht="15.75" hidden="1"/>
    <row r="3607" ht="15.75" hidden="1"/>
    <row r="3608" ht="15.75" hidden="1"/>
    <row r="3609" ht="15.75" hidden="1"/>
    <row r="3610" ht="15.75" hidden="1"/>
    <row r="3611" ht="15.75" hidden="1"/>
    <row r="3612" ht="15.75" hidden="1"/>
    <row r="3613" ht="15.75" hidden="1"/>
    <row r="3614" ht="15.75" hidden="1"/>
    <row r="3615" ht="15.75" hidden="1"/>
    <row r="3616" ht="15.75" hidden="1"/>
    <row r="3617" ht="15.75" hidden="1"/>
    <row r="3618" ht="15.75" hidden="1"/>
    <row r="3619" ht="15.75" hidden="1"/>
    <row r="3620" ht="15.75" hidden="1"/>
    <row r="3621" ht="15.75" hidden="1"/>
    <row r="3622" ht="15.75" hidden="1"/>
    <row r="3623" ht="15.75" hidden="1"/>
    <row r="3624" ht="15.75" hidden="1"/>
    <row r="3625" ht="15.75" hidden="1"/>
    <row r="3626" ht="15.75" hidden="1"/>
    <row r="3627" ht="15.75" hidden="1"/>
    <row r="3628" ht="15.75" hidden="1"/>
    <row r="3629" ht="15.75" hidden="1"/>
    <row r="3630" ht="15.75" hidden="1"/>
    <row r="3631" ht="15.75" hidden="1"/>
    <row r="3632" ht="15.75" hidden="1"/>
    <row r="3633" ht="15.75" hidden="1"/>
    <row r="3634" ht="15.75" hidden="1"/>
    <row r="3635" ht="15.75" hidden="1"/>
    <row r="3636" ht="15.75" hidden="1"/>
    <row r="3637" ht="15.75" hidden="1"/>
    <row r="3638" ht="15.75" hidden="1"/>
    <row r="3639" ht="15.75" hidden="1"/>
    <row r="3640" ht="15.75" hidden="1"/>
    <row r="3641" ht="15.75" hidden="1"/>
    <row r="3642" ht="15.75" hidden="1"/>
    <row r="3643" ht="15.75" hidden="1"/>
    <row r="3644" ht="15.75" hidden="1"/>
    <row r="3645" ht="15.75" hidden="1"/>
    <row r="3646" ht="15.75" hidden="1"/>
    <row r="3647" ht="15.75" hidden="1"/>
    <row r="3648" ht="15.75" hidden="1"/>
    <row r="3649" ht="15.75" hidden="1"/>
    <row r="3650" ht="15.75" hidden="1"/>
    <row r="3651" ht="15.75" hidden="1"/>
    <row r="3652" ht="15.75" hidden="1"/>
    <row r="3653" ht="15.75" hidden="1"/>
    <row r="3654" ht="15.75" hidden="1"/>
    <row r="3655" ht="15.75" hidden="1"/>
    <row r="3656" ht="15.75" hidden="1"/>
    <row r="3657" ht="15.75" hidden="1"/>
    <row r="3658" ht="15.75" hidden="1"/>
    <row r="3659" ht="15.75" hidden="1"/>
    <row r="3660" ht="15.75" hidden="1"/>
    <row r="3661" ht="15.75" hidden="1"/>
    <row r="3662" ht="15.75" hidden="1"/>
    <row r="3663" ht="15.75" hidden="1"/>
    <row r="3664" ht="15.75" hidden="1"/>
    <row r="3665" ht="15.75" hidden="1"/>
    <row r="3666" ht="15.75" hidden="1"/>
    <row r="3667" ht="15.75" hidden="1"/>
    <row r="3668" ht="15.75" hidden="1"/>
    <row r="3669" ht="15.75" hidden="1"/>
    <row r="3670" ht="15.75" hidden="1"/>
    <row r="3671" ht="15.75" hidden="1"/>
    <row r="3672" ht="15.75" hidden="1"/>
    <row r="3673" ht="15.75" hidden="1"/>
    <row r="3674" ht="15.75" hidden="1"/>
    <row r="3675" ht="15.75" hidden="1"/>
    <row r="3676" ht="15.75" hidden="1"/>
    <row r="3677" ht="15.75" hidden="1"/>
    <row r="3678" ht="15.75" hidden="1"/>
    <row r="3679" ht="15.75" hidden="1"/>
    <row r="3680" ht="15.75" hidden="1"/>
    <row r="3681" ht="15.75" hidden="1"/>
    <row r="3682" ht="15.75" hidden="1"/>
    <row r="3683" ht="15.75" hidden="1"/>
    <row r="3684" ht="15.75" hidden="1"/>
    <row r="3685" ht="15.75" hidden="1"/>
    <row r="3686" ht="15.75" hidden="1"/>
    <row r="3687" ht="15.75" hidden="1"/>
    <row r="3688" ht="15.75" hidden="1"/>
    <row r="3689" ht="15.75" hidden="1"/>
    <row r="3690" ht="15.75" hidden="1"/>
    <row r="3691" ht="15.75" hidden="1"/>
    <row r="3692" ht="15.75" hidden="1"/>
    <row r="3693" ht="15.75" hidden="1"/>
    <row r="3694" ht="15.75" hidden="1"/>
    <row r="3695" ht="15.75" hidden="1"/>
    <row r="3696" ht="15.75" hidden="1"/>
    <row r="3697" ht="15.75" hidden="1"/>
    <row r="3698" ht="15.75" hidden="1"/>
    <row r="3699" ht="15.75" hidden="1"/>
    <row r="3700" ht="15.75" hidden="1"/>
    <row r="3701" ht="15.75" hidden="1"/>
    <row r="3702" ht="15.75" hidden="1"/>
    <row r="3703" ht="15.75" hidden="1"/>
    <row r="3704" ht="15.75" hidden="1"/>
    <row r="3705" ht="15.75" hidden="1"/>
    <row r="3706" ht="15.75" hidden="1"/>
    <row r="3707" ht="15.75" hidden="1"/>
    <row r="3708" ht="15.75" hidden="1"/>
    <row r="3709" ht="15.75" hidden="1"/>
    <row r="3710" ht="15.75" hidden="1"/>
    <row r="3711" ht="15.75" hidden="1"/>
    <row r="3712" ht="15.75" hidden="1"/>
    <row r="3713" ht="15.75" hidden="1"/>
    <row r="3714" ht="15.75" hidden="1"/>
    <row r="3715" ht="15.75" hidden="1"/>
    <row r="3716" ht="15.75" hidden="1"/>
    <row r="3717" ht="15.75" hidden="1"/>
    <row r="3718" ht="15.75" hidden="1"/>
    <row r="3719" ht="15.75" hidden="1"/>
    <row r="3720" ht="15.75" hidden="1"/>
    <row r="3721" ht="15.75" hidden="1"/>
    <row r="3722" ht="15.75" hidden="1"/>
    <row r="3723" ht="15.75" hidden="1"/>
    <row r="3724" ht="15.75" hidden="1"/>
    <row r="3725" ht="15.75" hidden="1"/>
    <row r="3726" ht="15.75" hidden="1"/>
    <row r="3727" ht="15.75" hidden="1"/>
    <row r="3728" ht="15.75" hidden="1"/>
    <row r="3729" ht="15.75" hidden="1"/>
    <row r="3730" ht="15.75" hidden="1"/>
    <row r="3731" ht="15.75" hidden="1"/>
    <row r="3732" ht="15.75" hidden="1"/>
    <row r="3733" ht="15.75" hidden="1"/>
    <row r="3734" ht="15.75" hidden="1"/>
    <row r="3735" ht="15.75" hidden="1"/>
    <row r="3736" ht="15.75" hidden="1"/>
    <row r="3737" ht="15.75" hidden="1"/>
    <row r="3738" ht="15.75" hidden="1"/>
    <row r="3739" ht="15.75" hidden="1"/>
    <row r="3740" ht="15.75" hidden="1"/>
    <row r="3741" ht="15.75" hidden="1"/>
    <row r="3742" ht="15.75" hidden="1"/>
    <row r="3743" ht="15.75" hidden="1"/>
    <row r="3744" ht="15.75" hidden="1"/>
    <row r="3745" ht="15.75" hidden="1"/>
    <row r="3746" ht="15.75" hidden="1"/>
    <row r="3747" ht="15.75" hidden="1"/>
    <row r="3748" ht="15.75" hidden="1"/>
    <row r="3749" ht="15.75" hidden="1"/>
    <row r="3750" ht="15.75" hidden="1"/>
    <row r="3751" ht="15.75" hidden="1"/>
    <row r="3752" ht="15.75" hidden="1"/>
    <row r="3753" ht="15.75" hidden="1"/>
    <row r="3754" ht="15.75" hidden="1"/>
    <row r="3755" ht="15.75" hidden="1"/>
    <row r="3756" ht="15.75" hidden="1"/>
    <row r="3757" ht="15.75" hidden="1"/>
    <row r="3758" ht="15.75" hidden="1"/>
    <row r="3759" ht="15.75" hidden="1"/>
    <row r="3760" ht="15.75" hidden="1"/>
    <row r="3761" ht="15.75" hidden="1"/>
    <row r="3762" ht="15.75" hidden="1"/>
    <row r="3763" ht="15.75" hidden="1"/>
    <row r="3764" ht="15.75" hidden="1"/>
    <row r="3765" ht="15.75" hidden="1"/>
    <row r="3766" ht="15.75" hidden="1"/>
    <row r="3767" ht="15.75" hidden="1"/>
    <row r="3768" ht="15.75" hidden="1"/>
    <row r="3769" ht="15.75" hidden="1"/>
    <row r="3770" ht="15.75" hidden="1"/>
    <row r="3771" ht="15.75" hidden="1"/>
    <row r="3772" ht="15.75" hidden="1"/>
    <row r="3773" ht="15.75" hidden="1"/>
    <row r="3774" ht="15.75" hidden="1"/>
    <row r="3775" ht="15.75" hidden="1"/>
    <row r="3776" ht="15.75" hidden="1"/>
    <row r="3777" ht="15.75" hidden="1"/>
    <row r="3778" ht="15.75" hidden="1"/>
    <row r="3779" ht="15.75" hidden="1"/>
    <row r="3780" ht="15.75" hidden="1"/>
    <row r="3781" ht="15.75" hidden="1"/>
    <row r="3782" ht="15.75" hidden="1"/>
    <row r="3783" ht="15.75" hidden="1"/>
    <row r="3784" ht="15.75" hidden="1"/>
    <row r="3785" ht="15.75" hidden="1"/>
    <row r="3786" ht="15.75" hidden="1"/>
    <row r="3787" ht="15.75" hidden="1"/>
    <row r="3788" ht="15.75" hidden="1"/>
    <row r="3789" ht="15.75" hidden="1"/>
    <row r="3790" ht="15.75" hidden="1"/>
    <row r="3791" ht="15.75" hidden="1"/>
    <row r="3792" ht="15.75" hidden="1"/>
    <row r="3793" ht="15.75" hidden="1"/>
    <row r="3794" ht="15.75" hidden="1"/>
    <row r="3795" ht="15.75" hidden="1"/>
    <row r="3796" ht="15.75" hidden="1"/>
    <row r="3797" ht="15.75" hidden="1"/>
    <row r="3798" ht="15.75" hidden="1"/>
    <row r="3799" ht="15.75" hidden="1"/>
    <row r="3800" ht="15.75" hidden="1"/>
    <row r="3801" ht="15.75" hidden="1"/>
    <row r="3802" ht="15.75" hidden="1"/>
    <row r="3803" ht="15.75" hidden="1"/>
    <row r="3804" ht="15.75" hidden="1"/>
    <row r="3805" ht="15.75" hidden="1"/>
    <row r="3806" ht="15.75" hidden="1"/>
    <row r="3807" ht="15.75" hidden="1"/>
    <row r="3808" ht="15.75" hidden="1"/>
    <row r="3809" ht="15.75" hidden="1"/>
    <row r="3810" ht="15.75" hidden="1"/>
    <row r="3811" ht="15.75" hidden="1"/>
    <row r="3812" ht="15.75" hidden="1"/>
    <row r="3813" ht="15.75" hidden="1"/>
    <row r="3814" ht="15.75" hidden="1"/>
    <row r="3815" ht="15.75" hidden="1"/>
    <row r="3816" ht="15.75" hidden="1"/>
    <row r="3817" ht="15.75" hidden="1"/>
    <row r="3818" ht="15.75" hidden="1"/>
    <row r="3819" ht="15.75" hidden="1"/>
    <row r="3820" ht="15.75" hidden="1"/>
    <row r="3821" ht="15.75" hidden="1"/>
    <row r="3822" ht="15.75" hidden="1"/>
    <row r="3823" ht="15.75" hidden="1"/>
    <row r="3824" ht="15.75" hidden="1"/>
    <row r="3825" ht="15.75" hidden="1"/>
    <row r="3826" ht="15.75" hidden="1"/>
    <row r="3827" ht="15.75" hidden="1"/>
    <row r="3828" ht="15.75" hidden="1"/>
    <row r="3829" ht="15.75" hidden="1"/>
    <row r="3830" ht="15.75" hidden="1"/>
    <row r="3831" ht="15.75" hidden="1"/>
    <row r="3832" ht="15.75" hidden="1"/>
    <row r="3833" ht="15.75" hidden="1"/>
    <row r="3834" ht="15.75" hidden="1"/>
    <row r="3835" ht="15.75" hidden="1"/>
    <row r="3836" ht="15.75" hidden="1"/>
    <row r="3837" ht="15.75" hidden="1"/>
    <row r="3838" ht="15.75" hidden="1"/>
    <row r="3839" ht="15.75" hidden="1"/>
    <row r="3840" ht="15.75" hidden="1"/>
    <row r="3841" ht="15.75" hidden="1"/>
    <row r="3842" ht="15.75" hidden="1"/>
    <row r="3843" ht="15.75" hidden="1"/>
    <row r="3844" ht="15.75" hidden="1"/>
    <row r="3845" ht="15.75" hidden="1"/>
    <row r="3846" ht="15.75" hidden="1"/>
    <row r="3847" ht="15.75" hidden="1"/>
    <row r="3848" ht="15.75" hidden="1"/>
    <row r="3849" ht="15.75" hidden="1"/>
    <row r="3850" ht="15.75" hidden="1"/>
    <row r="3851" ht="15.75" hidden="1"/>
    <row r="3852" ht="15.75" hidden="1"/>
    <row r="3853" ht="15.75" hidden="1"/>
    <row r="3854" ht="15.75" hidden="1"/>
    <row r="3855" ht="15.75" hidden="1"/>
    <row r="3856" ht="15.75" hidden="1"/>
    <row r="3857" ht="15.75" hidden="1"/>
    <row r="3858" ht="15.75" hidden="1"/>
    <row r="3859" ht="15.75" hidden="1"/>
    <row r="3860" ht="15.75" hidden="1"/>
    <row r="3861" ht="15.75" hidden="1"/>
    <row r="3862" ht="15.75" hidden="1"/>
    <row r="3863" ht="15.75" hidden="1"/>
    <row r="3864" ht="15.75" hidden="1"/>
    <row r="3865" ht="15.75" hidden="1"/>
    <row r="3866" ht="15.75" hidden="1"/>
    <row r="3867" ht="15.75" hidden="1"/>
    <row r="3868" ht="15.75" hidden="1"/>
    <row r="3869" ht="15.75" hidden="1"/>
    <row r="3870" ht="15.75" hidden="1"/>
    <row r="3871" ht="15.75" hidden="1"/>
    <row r="3872" ht="15.75" hidden="1"/>
    <row r="3873" ht="15.75" hidden="1"/>
    <row r="3874" ht="15.75" hidden="1"/>
    <row r="3875" ht="15.75" hidden="1"/>
    <row r="3876" ht="15.75" hidden="1"/>
    <row r="3877" ht="15.75" hidden="1"/>
    <row r="3878" ht="15.75" hidden="1"/>
    <row r="3879" ht="15.75" hidden="1"/>
    <row r="3880" ht="15.75" hidden="1"/>
    <row r="3881" ht="15.75" hidden="1"/>
    <row r="3882" ht="15.75" hidden="1"/>
    <row r="3883" ht="15.75" hidden="1"/>
    <row r="3884" ht="15.75" hidden="1"/>
    <row r="3885" ht="15.75" hidden="1"/>
    <row r="3886" ht="15.75" hidden="1"/>
    <row r="3887" ht="15.75" hidden="1"/>
    <row r="3888" ht="15.75" hidden="1"/>
    <row r="3889" ht="15.75" hidden="1"/>
    <row r="3890" ht="15.75" hidden="1"/>
    <row r="3891" ht="15.75" hidden="1"/>
    <row r="3892" ht="15.75" hidden="1"/>
    <row r="3893" ht="15.75" hidden="1"/>
    <row r="3894" ht="15.75" hidden="1"/>
    <row r="3895" ht="15.75" hidden="1"/>
    <row r="3896" ht="15.75" hidden="1"/>
    <row r="3897" ht="15.75" hidden="1"/>
    <row r="3898" ht="15.75" hidden="1"/>
    <row r="3899" ht="15.75" hidden="1"/>
    <row r="3900" ht="15.75" hidden="1"/>
    <row r="3901" ht="15.75" hidden="1"/>
    <row r="3902" ht="15.75" hidden="1"/>
    <row r="3903" ht="15.75" hidden="1"/>
    <row r="3904" ht="15.75" hidden="1"/>
    <row r="3905" ht="15.75" hidden="1"/>
    <row r="3906" ht="15.75" hidden="1"/>
    <row r="3907" ht="15.75" hidden="1"/>
    <row r="3908" ht="15.75" hidden="1"/>
    <row r="3909" ht="15.75" hidden="1"/>
    <row r="3910" ht="15.75" hidden="1"/>
    <row r="3911" ht="15.75" hidden="1"/>
    <row r="3912" ht="15.75" hidden="1"/>
    <row r="3913" ht="15.75" hidden="1"/>
    <row r="3914" ht="15.75" hidden="1"/>
    <row r="3915" ht="15.75" hidden="1"/>
    <row r="3916" ht="15.75" hidden="1"/>
    <row r="3917" ht="15.75" hidden="1"/>
    <row r="3918" ht="15.75" hidden="1"/>
    <row r="3919" ht="15.75" hidden="1"/>
    <row r="3920" ht="15.75" hidden="1"/>
    <row r="3921" ht="15.75" hidden="1"/>
    <row r="3922" ht="15.75" hidden="1"/>
    <row r="3923" ht="15.75" hidden="1"/>
    <row r="3924" ht="15.75" hidden="1"/>
    <row r="3925" ht="15.75" hidden="1"/>
    <row r="3926" ht="15.75" hidden="1"/>
    <row r="3927" ht="15.75" hidden="1"/>
    <row r="3928" ht="15.75" hidden="1"/>
    <row r="3929" ht="15.75" hidden="1"/>
    <row r="3930" ht="15.75" hidden="1"/>
    <row r="3931" ht="15.75" hidden="1"/>
    <row r="3932" ht="15.75" hidden="1"/>
    <row r="3933" ht="15.75" hidden="1"/>
    <row r="3934" ht="15.75" hidden="1"/>
    <row r="3935" ht="15.75" hidden="1"/>
    <row r="3936" ht="15.75" hidden="1"/>
    <row r="3937" ht="15.75" hidden="1"/>
    <row r="3938" ht="15.75" hidden="1"/>
    <row r="3939" ht="15.75" hidden="1"/>
    <row r="3940" ht="15.75" hidden="1"/>
    <row r="3941" ht="15.75" hidden="1"/>
    <row r="3942" ht="15.75" hidden="1"/>
    <row r="3943" ht="15.75" hidden="1"/>
    <row r="3944" ht="15.75" hidden="1"/>
    <row r="3945" ht="15.75" hidden="1"/>
    <row r="3946" ht="15.75" hidden="1"/>
    <row r="3947" ht="15.75" hidden="1"/>
    <row r="3948" ht="15.75" hidden="1"/>
    <row r="3949" ht="15.75" hidden="1"/>
    <row r="3950" ht="15.75" hidden="1"/>
    <row r="3951" ht="15.75" hidden="1"/>
    <row r="3952" ht="15.75" hidden="1"/>
    <row r="3953" ht="15.75" hidden="1"/>
    <row r="3954" ht="15.75" hidden="1"/>
    <row r="3955" ht="15.75" hidden="1"/>
    <row r="3956" ht="15.75" hidden="1"/>
    <row r="3957" ht="15.75" hidden="1"/>
    <row r="3958" ht="15.75" hidden="1"/>
    <row r="3959" ht="15.75" hidden="1"/>
    <row r="3960" ht="15.75" hidden="1"/>
    <row r="3961" ht="15.75" hidden="1"/>
    <row r="3962" ht="15.75" hidden="1"/>
    <row r="3963" ht="15.75" hidden="1"/>
    <row r="3964" ht="15.75" hidden="1"/>
    <row r="3965" ht="15.75" hidden="1"/>
    <row r="3966" ht="15.75" hidden="1"/>
    <row r="3967" ht="15.75" hidden="1"/>
    <row r="3968" ht="15.75" hidden="1"/>
    <row r="3969" ht="15.75" hidden="1"/>
    <row r="3970" ht="15.75" hidden="1"/>
    <row r="3971" ht="15.75" hidden="1"/>
    <row r="3972" ht="15.75" hidden="1"/>
    <row r="3973" ht="15.75" hidden="1"/>
    <row r="3974" ht="15.75" hidden="1"/>
    <row r="3975" ht="15.75" hidden="1"/>
    <row r="3976" ht="15.75" hidden="1"/>
    <row r="3977" ht="15.75" hidden="1"/>
    <row r="3978" ht="15.75" hidden="1"/>
    <row r="3979" ht="15.75" hidden="1"/>
    <row r="3980" ht="15.75" hidden="1"/>
    <row r="3981" ht="15.75" hidden="1"/>
    <row r="3982" ht="15.75" hidden="1"/>
    <row r="3983" ht="15.75" hidden="1"/>
    <row r="3984" ht="15.75" hidden="1"/>
    <row r="3985" ht="15.75" hidden="1"/>
    <row r="3986" ht="15.75" hidden="1"/>
    <row r="3987" ht="15.75" hidden="1"/>
    <row r="3988" ht="15.75" hidden="1"/>
    <row r="3989" ht="15.75" hidden="1"/>
    <row r="3990" ht="15.75" hidden="1"/>
    <row r="3991" ht="15.75" hidden="1"/>
    <row r="3992" ht="15.75" hidden="1"/>
    <row r="3993" ht="15.75" hidden="1"/>
    <row r="3994" ht="15.75" hidden="1"/>
    <row r="3995" ht="15.75" hidden="1"/>
    <row r="3996" ht="15.75" hidden="1"/>
    <row r="3997" ht="15.75" hidden="1"/>
    <row r="3998" ht="15.75" hidden="1"/>
    <row r="3999" ht="15.75" hidden="1"/>
    <row r="4000" ht="15.75" hidden="1"/>
    <row r="4001" ht="15.75" hidden="1"/>
    <row r="4002" ht="15.75" hidden="1"/>
    <row r="4003" ht="15.75" hidden="1"/>
    <row r="4004" ht="15.75" hidden="1"/>
    <row r="4005" ht="15.75" hidden="1"/>
    <row r="4006" ht="15.75" hidden="1"/>
    <row r="4007" ht="15.75" hidden="1"/>
    <row r="4008" ht="15.75" hidden="1"/>
    <row r="4009" ht="15.75" hidden="1"/>
    <row r="4010" ht="15.75" hidden="1"/>
    <row r="4011" ht="15.75" hidden="1"/>
    <row r="4012" ht="15.75" hidden="1"/>
    <row r="4013" ht="15.75" hidden="1"/>
    <row r="4014" ht="15.75" hidden="1"/>
    <row r="4015" ht="15.75" hidden="1"/>
    <row r="4016" ht="15.75" hidden="1"/>
    <row r="4017" ht="15.75" hidden="1"/>
    <row r="4018" ht="15.75" hidden="1"/>
    <row r="4019" ht="15.75" hidden="1"/>
    <row r="4020" ht="15.75" hidden="1"/>
    <row r="4021" ht="15.75" hidden="1"/>
    <row r="4022" ht="15.75" hidden="1"/>
    <row r="4023" ht="15.75" hidden="1"/>
    <row r="4024" ht="15.75" hidden="1"/>
    <row r="4025" ht="15.75" hidden="1"/>
    <row r="4026" ht="15.75" hidden="1"/>
    <row r="4027" ht="15.75" hidden="1"/>
    <row r="4028" ht="15.75" hidden="1"/>
    <row r="4029" ht="15.75" hidden="1"/>
    <row r="4030" ht="15.75" hidden="1"/>
    <row r="4031" ht="15.75" hidden="1"/>
    <row r="4032" ht="15.75" hidden="1"/>
    <row r="4033" ht="15.75" hidden="1"/>
    <row r="4034" ht="15.75" hidden="1"/>
    <row r="4035" ht="15.75" hidden="1"/>
    <row r="4036" ht="15.75" hidden="1"/>
    <row r="4037" ht="15.75" hidden="1"/>
    <row r="4038" ht="15.75" hidden="1"/>
    <row r="4039" ht="15.75" hidden="1"/>
    <row r="4040" ht="15.75" hidden="1"/>
    <row r="4041" ht="15.75" hidden="1"/>
    <row r="4042" ht="15.75" hidden="1"/>
    <row r="4043" ht="15.75" hidden="1"/>
    <row r="4044" ht="15.75" hidden="1"/>
    <row r="4045" ht="15.75" hidden="1"/>
    <row r="4046" ht="15.75" hidden="1"/>
    <row r="4047" ht="15.75" hidden="1"/>
    <row r="4048" ht="15.75" hidden="1"/>
    <row r="4049" ht="15.75" hidden="1"/>
    <row r="4050" ht="15.75" hidden="1"/>
    <row r="4051" ht="15.75" hidden="1"/>
    <row r="4052" ht="15.75" hidden="1"/>
    <row r="4053" ht="15.75" hidden="1"/>
    <row r="4054" ht="15.75" hidden="1"/>
    <row r="4055" ht="15.75" hidden="1"/>
    <row r="4056" ht="15.75" hidden="1"/>
    <row r="4057" ht="15.75" hidden="1"/>
    <row r="4058" ht="15.75" hidden="1"/>
    <row r="4059" ht="15.75" hidden="1"/>
    <row r="4060" ht="15.75" hidden="1"/>
    <row r="4061" ht="15.75" hidden="1"/>
    <row r="4062" ht="15.75" hidden="1"/>
    <row r="4063" ht="15.75" hidden="1"/>
    <row r="4064" ht="15.75" hidden="1"/>
    <row r="4065" ht="15.75" hidden="1"/>
    <row r="4066" ht="15.75" hidden="1"/>
    <row r="4067" ht="15.75" hidden="1"/>
    <row r="4068" ht="15.75" hidden="1"/>
    <row r="4069" ht="15.75" hidden="1"/>
    <row r="4070" ht="15.75" hidden="1"/>
    <row r="4071" ht="15.75" hidden="1"/>
    <row r="4072" ht="15.75" hidden="1"/>
    <row r="4073" ht="15.75" hidden="1"/>
    <row r="4074" ht="15.75" hidden="1"/>
    <row r="4075" ht="15.75" hidden="1"/>
    <row r="4076" ht="15.75" hidden="1"/>
    <row r="4077" ht="15.75" hidden="1"/>
    <row r="4078" ht="15.75" hidden="1"/>
    <row r="4079" ht="15.75" hidden="1"/>
    <row r="4080" ht="15.75" hidden="1"/>
    <row r="4081" ht="15.75" hidden="1"/>
    <row r="4082" ht="15.75" hidden="1"/>
    <row r="4083" ht="15.75" hidden="1"/>
    <row r="4084" ht="15.75" hidden="1"/>
    <row r="4085" ht="15.75" hidden="1"/>
    <row r="4086" ht="15.75" hidden="1"/>
    <row r="4087" ht="15.75" hidden="1"/>
    <row r="4088" ht="15.75" hidden="1"/>
    <row r="4089" ht="15.75" hidden="1"/>
    <row r="4090" ht="15.75" hidden="1"/>
    <row r="4091" ht="15.75" hidden="1"/>
    <row r="4092" ht="15.75" hidden="1"/>
    <row r="4093" ht="15.75" hidden="1"/>
    <row r="4094" ht="15.75" hidden="1"/>
    <row r="4095" ht="15.75" hidden="1"/>
    <row r="4096" ht="15.75" hidden="1"/>
    <row r="4097" ht="15.75" hidden="1"/>
    <row r="4098" ht="15.75" hidden="1"/>
    <row r="4099" ht="15.75" hidden="1"/>
    <row r="4100" ht="15.75" hidden="1"/>
    <row r="4101" ht="15.75" hidden="1"/>
    <row r="4102" ht="15.75" hidden="1"/>
    <row r="4103" ht="15.75" hidden="1"/>
    <row r="4104" ht="15.75" hidden="1"/>
    <row r="4105" ht="15.75" hidden="1"/>
    <row r="4106" ht="15.75" hidden="1"/>
    <row r="4107" ht="15.75" hidden="1"/>
    <row r="4108" ht="15.75" hidden="1"/>
    <row r="4109" ht="15.75" hidden="1"/>
    <row r="4110" ht="15.75" hidden="1"/>
    <row r="4111" ht="15.75" hidden="1"/>
    <row r="4112" ht="15.75" hidden="1"/>
    <row r="4113" ht="15.75" hidden="1"/>
    <row r="4114" ht="15.75" hidden="1"/>
    <row r="4115" ht="15.75" hidden="1"/>
    <row r="4116" ht="15.75" hidden="1"/>
    <row r="4117" ht="15.75" hidden="1"/>
    <row r="4118" ht="15.75" hidden="1"/>
    <row r="4119" ht="15.75" hidden="1"/>
    <row r="4120" ht="15.75" hidden="1"/>
    <row r="4121" ht="15.75" hidden="1"/>
    <row r="4122" ht="15.75" hidden="1"/>
    <row r="4123" ht="15.75" hidden="1"/>
    <row r="4124" ht="15.75" hidden="1"/>
    <row r="4125" ht="15.75" hidden="1"/>
    <row r="4126" ht="15.75" hidden="1"/>
    <row r="4127" ht="15.75" hidden="1"/>
    <row r="4128" ht="15.75" hidden="1"/>
    <row r="4129" ht="15.75" hidden="1"/>
    <row r="4130" ht="15.75" hidden="1"/>
    <row r="4131" ht="15.75" hidden="1"/>
    <row r="4132" ht="15.75" hidden="1"/>
    <row r="4133" ht="15.75" hidden="1"/>
    <row r="4134" ht="15.75" hidden="1"/>
    <row r="4135" ht="15.75" hidden="1"/>
    <row r="4136" ht="15.75" hidden="1"/>
    <row r="4137" ht="15.75" hidden="1"/>
    <row r="4138" ht="15.75" hidden="1"/>
    <row r="4139" ht="15.75" hidden="1"/>
    <row r="4140" ht="15.75" hidden="1"/>
    <row r="4141" ht="15.75" hidden="1"/>
    <row r="4142" ht="15.75" hidden="1"/>
    <row r="4143" ht="15.75" hidden="1"/>
    <row r="4144" ht="15.75" hidden="1"/>
    <row r="4145" ht="15.75" hidden="1"/>
    <row r="4146" ht="15.75" hidden="1"/>
    <row r="4147" ht="15.75" hidden="1"/>
    <row r="4148" ht="15.75" hidden="1"/>
    <row r="4149" ht="15.75" hidden="1"/>
    <row r="4150" ht="15.75" hidden="1"/>
    <row r="4151" ht="15.75" hidden="1"/>
    <row r="4152" ht="15.75" hidden="1"/>
    <row r="4153" ht="15.75" hidden="1"/>
    <row r="4154" ht="15.75" hidden="1"/>
    <row r="4155" ht="15.75" hidden="1"/>
    <row r="4156" ht="15.75" hidden="1"/>
    <row r="4157" ht="15.75" hidden="1"/>
    <row r="4158" ht="15.75" hidden="1"/>
    <row r="4159" ht="15.75" hidden="1"/>
    <row r="4160" ht="15.75" hidden="1"/>
    <row r="4161" ht="15.75" hidden="1"/>
    <row r="4162" ht="15.75" hidden="1"/>
    <row r="4163" ht="15.75" hidden="1"/>
    <row r="4164" ht="15.75" hidden="1"/>
    <row r="4165" ht="15.75" hidden="1"/>
    <row r="4166" ht="15.75" hidden="1"/>
    <row r="4167" ht="15.75" hidden="1"/>
    <row r="4168" ht="15.75" hidden="1"/>
    <row r="4169" ht="15.75" hidden="1"/>
    <row r="4170" ht="15.75" hidden="1"/>
    <row r="4171" ht="15.75" hidden="1"/>
    <row r="4172" ht="15.75" hidden="1"/>
    <row r="4173" ht="15.75" hidden="1"/>
    <row r="4174" ht="15.75" hidden="1"/>
    <row r="4175" ht="15.75" hidden="1"/>
    <row r="4176" ht="15.75" hidden="1"/>
    <row r="4177" ht="15.75" hidden="1"/>
    <row r="4178" ht="15.75" hidden="1"/>
    <row r="4179" ht="15.75" hidden="1"/>
    <row r="4180" ht="15.75" hidden="1"/>
    <row r="4181" ht="15.75" hidden="1"/>
    <row r="4182" ht="15.75" hidden="1"/>
    <row r="4183" ht="15.75" hidden="1"/>
    <row r="4184" ht="15.75" hidden="1"/>
    <row r="4185" ht="15.75" hidden="1"/>
    <row r="4186" ht="15.75" hidden="1"/>
    <row r="4187" ht="15.75" hidden="1"/>
    <row r="4188" ht="15.75" hidden="1"/>
    <row r="4189" ht="15.75" hidden="1"/>
    <row r="4190" ht="15.75" hidden="1"/>
    <row r="4191" ht="15.75" hidden="1"/>
    <row r="4192" ht="15.75" hidden="1"/>
    <row r="4193" ht="15.75" hidden="1"/>
    <row r="4194" ht="15.75" hidden="1"/>
    <row r="4195" ht="15.75" hidden="1"/>
    <row r="4196" ht="15.75" hidden="1"/>
    <row r="4197" ht="15.75" hidden="1"/>
    <row r="4198" ht="15.75" hidden="1"/>
    <row r="4199" ht="15.75" hidden="1"/>
    <row r="4200" ht="15.75" hidden="1"/>
    <row r="4201" ht="15.75" hidden="1"/>
    <row r="4202" ht="15.75" hidden="1"/>
    <row r="4203" ht="15.75" hidden="1"/>
    <row r="4204" ht="15.75" hidden="1"/>
    <row r="4205" ht="15.75" hidden="1"/>
    <row r="4206" ht="15.75" hidden="1"/>
    <row r="4207" ht="15.75" hidden="1"/>
    <row r="4208" ht="15.75" hidden="1"/>
    <row r="4209" ht="15.75" hidden="1"/>
    <row r="4210" ht="15.75" hidden="1"/>
    <row r="4211" ht="15.75" hidden="1"/>
    <row r="4212" ht="15.75" hidden="1"/>
    <row r="4213" ht="15.75" hidden="1"/>
    <row r="4214" ht="15.75" hidden="1"/>
    <row r="4215" ht="15.75" hidden="1"/>
    <row r="4216" ht="15.75" hidden="1"/>
    <row r="4217" ht="15.75" hidden="1"/>
    <row r="4218" ht="15.75" hidden="1"/>
    <row r="4219" ht="15.75" hidden="1"/>
    <row r="4220" ht="15.75" hidden="1"/>
    <row r="4221" ht="15.75" hidden="1"/>
    <row r="4222" ht="15.75" hidden="1"/>
    <row r="4223" ht="15.75" hidden="1"/>
    <row r="4224" ht="15.75" hidden="1"/>
    <row r="4225" ht="15.75" hidden="1"/>
    <row r="4226" ht="15.75" hidden="1"/>
    <row r="4227" ht="15.75" hidden="1"/>
    <row r="4228" ht="15.75" hidden="1"/>
    <row r="4229" ht="15.75" hidden="1"/>
    <row r="4230" ht="15.75" hidden="1"/>
    <row r="4231" ht="15.75" hidden="1"/>
    <row r="4232" ht="15.75" hidden="1"/>
    <row r="4233" ht="15.75" hidden="1"/>
    <row r="4234" ht="15.75" hidden="1"/>
    <row r="4235" ht="15.75" hidden="1"/>
    <row r="4236" ht="15.75" hidden="1"/>
    <row r="4237" ht="15.75" hidden="1"/>
    <row r="4238" ht="15.75" hidden="1"/>
    <row r="4239" ht="15.75" hidden="1"/>
    <row r="4240" ht="15.75" hidden="1"/>
    <row r="4241" ht="15.75" hidden="1"/>
    <row r="4242" ht="15.75" hidden="1"/>
    <row r="4243" ht="15.75" hidden="1"/>
    <row r="4244" ht="15.75" hidden="1"/>
    <row r="4245" ht="15.75" hidden="1"/>
    <row r="4246" ht="15.75" hidden="1"/>
    <row r="4247" ht="15.75" hidden="1"/>
    <row r="4248" ht="15.75" hidden="1"/>
    <row r="4249" ht="15.75" hidden="1"/>
    <row r="4250" ht="15.75" hidden="1"/>
    <row r="4251" ht="15.75" hidden="1"/>
    <row r="4252" ht="15.75" hidden="1"/>
    <row r="4253" ht="15.75" hidden="1"/>
    <row r="4254" ht="15.75" hidden="1"/>
    <row r="4255" ht="15.75" hidden="1"/>
    <row r="4256" ht="15.75" hidden="1"/>
    <row r="4257" ht="15.75" hidden="1"/>
    <row r="4258" ht="15.75" hidden="1"/>
    <row r="4259" ht="15.75" hidden="1"/>
    <row r="4260" ht="15.75" hidden="1"/>
    <row r="4261" ht="15.75" hidden="1"/>
    <row r="4262" ht="15.75" hidden="1"/>
    <row r="4263" ht="15.75" hidden="1"/>
    <row r="4264" ht="15.75" hidden="1"/>
    <row r="4265" ht="15.75" hidden="1"/>
    <row r="4266" ht="15.75" hidden="1"/>
    <row r="4267" ht="15.75" hidden="1"/>
    <row r="4268" ht="15.75" hidden="1"/>
    <row r="4269" ht="15.75" hidden="1"/>
    <row r="4270" ht="15.75" hidden="1"/>
    <row r="4271" ht="15.75" hidden="1"/>
    <row r="4272" ht="15.75" hidden="1"/>
    <row r="4273" ht="15.75" hidden="1"/>
    <row r="4274" ht="15.75" hidden="1"/>
    <row r="4275" ht="15.75" hidden="1"/>
    <row r="4276" ht="15.75" hidden="1"/>
    <row r="4277" ht="15.75" hidden="1"/>
    <row r="4278" ht="15.75" hidden="1"/>
    <row r="4279" ht="15.75" hidden="1"/>
    <row r="4280" ht="15.75" hidden="1"/>
    <row r="4281" ht="15.75" hidden="1"/>
    <row r="4282" ht="15.75" hidden="1"/>
    <row r="4283" ht="15.75" hidden="1"/>
    <row r="4284" ht="15.75" hidden="1"/>
    <row r="4285" ht="15.75" hidden="1"/>
    <row r="4286" ht="15.75" hidden="1"/>
    <row r="4287" ht="15.75" hidden="1"/>
    <row r="4288" ht="15.75" hidden="1"/>
    <row r="4289" ht="15.75" hidden="1"/>
    <row r="4290" ht="15.75" hidden="1"/>
    <row r="4291" ht="15.75" hidden="1"/>
    <row r="4292" ht="15.75" hidden="1"/>
    <row r="4293" ht="15.75" hidden="1"/>
    <row r="4294" ht="15.75" hidden="1"/>
    <row r="4295" ht="15.75" hidden="1"/>
    <row r="4296" ht="15.75" hidden="1"/>
    <row r="4297" ht="15.75" hidden="1"/>
    <row r="4298" ht="15.75" hidden="1"/>
    <row r="4299" ht="15.75" hidden="1"/>
    <row r="4300" ht="15.75" hidden="1"/>
    <row r="4301" ht="15.75" hidden="1"/>
    <row r="4302" ht="15.75" hidden="1"/>
    <row r="4303" ht="15.75" hidden="1"/>
    <row r="4304" ht="15.75" hidden="1"/>
    <row r="4305" ht="15.75" hidden="1"/>
    <row r="4306" ht="15.75" hidden="1"/>
    <row r="4307" ht="15.75" hidden="1"/>
    <row r="4308" ht="15.75" hidden="1"/>
    <row r="4309" ht="15.75" hidden="1"/>
    <row r="4310" ht="15.75" hidden="1"/>
    <row r="4311" ht="15.75" hidden="1"/>
    <row r="4312" ht="15.75" hidden="1"/>
    <row r="4313" ht="15.75" hidden="1"/>
    <row r="4314" ht="15.75" hidden="1"/>
    <row r="4315" ht="15.75" hidden="1"/>
    <row r="4316" ht="15.75" hidden="1"/>
    <row r="4317" ht="15.75" hidden="1"/>
    <row r="4318" ht="15.75" hidden="1"/>
    <row r="4319" ht="15.75" hidden="1"/>
    <row r="4320" ht="15.75" hidden="1"/>
    <row r="4321" ht="15.75" hidden="1"/>
    <row r="4322" ht="15.75" hidden="1"/>
    <row r="4323" ht="15.75" hidden="1"/>
    <row r="4324" ht="15.75" hidden="1"/>
    <row r="4325" ht="15.75" hidden="1"/>
    <row r="4326" ht="15.75" hidden="1"/>
    <row r="4327" ht="15.75" hidden="1"/>
    <row r="4328" ht="15.75" hidden="1"/>
    <row r="4329" ht="15.75" hidden="1"/>
    <row r="4330" ht="15.75" hidden="1"/>
    <row r="4331" ht="15.75" hidden="1"/>
    <row r="4332" ht="15.75" hidden="1"/>
    <row r="4333" ht="15.75" hidden="1"/>
    <row r="4334" ht="15.75" hidden="1"/>
    <row r="4335" ht="15.75" hidden="1"/>
    <row r="4336" ht="15.75" hidden="1"/>
    <row r="4337" ht="15.75" hidden="1"/>
    <row r="4338" ht="15.75" hidden="1"/>
    <row r="4339" ht="15.75" hidden="1"/>
    <row r="4340" ht="15.75" hidden="1"/>
    <row r="4341" ht="15.75" hidden="1"/>
    <row r="4342" ht="15.75" hidden="1"/>
    <row r="4343" ht="15.75" hidden="1"/>
    <row r="4344" ht="15.75" hidden="1"/>
    <row r="4345" ht="15.75" hidden="1"/>
    <row r="4346" ht="15.75" hidden="1"/>
    <row r="4347" ht="15.75" hidden="1"/>
    <row r="4348" ht="15.75" hidden="1"/>
    <row r="4349" ht="15.75" hidden="1"/>
    <row r="4350" ht="15.75" hidden="1"/>
    <row r="4351" ht="15.75" hidden="1"/>
    <row r="4352" ht="15.75" hidden="1"/>
    <row r="4353" ht="15.75" hidden="1"/>
    <row r="4354" ht="15.75" hidden="1"/>
    <row r="4355" ht="15.75" hidden="1"/>
    <row r="4356" ht="15.75" hidden="1"/>
    <row r="4357" ht="15.75" hidden="1"/>
    <row r="4358" ht="15.75" hidden="1"/>
    <row r="4359" ht="15.75" hidden="1"/>
    <row r="4360" ht="15.75" hidden="1"/>
    <row r="4361" ht="15.75" hidden="1"/>
    <row r="4362" ht="15.75" hidden="1"/>
    <row r="4363" ht="15.75" hidden="1"/>
    <row r="4364" ht="15.75" hidden="1"/>
    <row r="4365" ht="15.75" hidden="1"/>
    <row r="4366" ht="15.75" hidden="1"/>
    <row r="4367" ht="15.75" hidden="1"/>
    <row r="4368" ht="15.75" hidden="1"/>
    <row r="4369" ht="15.75" hidden="1"/>
    <row r="4370" ht="15.75" hidden="1"/>
    <row r="4371" ht="15.75" hidden="1"/>
    <row r="4372" ht="15.75" hidden="1"/>
    <row r="4373" ht="15.75" hidden="1"/>
    <row r="4374" ht="15.75" hidden="1"/>
    <row r="4375" ht="15.75" hidden="1"/>
    <row r="4376" ht="15.75" hidden="1"/>
    <row r="4377" ht="15.75" hidden="1"/>
    <row r="4378" ht="15.75" hidden="1"/>
    <row r="4379" ht="15.75" hidden="1"/>
    <row r="4380" ht="15.75" hidden="1"/>
    <row r="4381" ht="15.75" hidden="1"/>
    <row r="4382" ht="15.75" hidden="1"/>
    <row r="4383" ht="15.75" hidden="1"/>
    <row r="4384" ht="15.75" hidden="1"/>
    <row r="4385" ht="15.75" hidden="1"/>
    <row r="4386" ht="15.75" hidden="1"/>
    <row r="4387" ht="15.75" hidden="1"/>
    <row r="4388" ht="15.75" hidden="1"/>
    <row r="4389" ht="15.75" hidden="1"/>
    <row r="4390" ht="15.75" hidden="1"/>
    <row r="4391" ht="15.75" hidden="1"/>
    <row r="4392" ht="15.75" hidden="1"/>
    <row r="4393" ht="15.75" hidden="1"/>
    <row r="4394" ht="15.75" hidden="1"/>
    <row r="4395" ht="15.75" hidden="1"/>
    <row r="4396" ht="15.75" hidden="1"/>
    <row r="4397" ht="15.75" hidden="1"/>
    <row r="4398" ht="15.75" hidden="1"/>
    <row r="4399" ht="15.75" hidden="1"/>
    <row r="4400" ht="15.75" hidden="1"/>
    <row r="4401" ht="15.75" hidden="1"/>
  </sheetData>
  <sheetProtection password="DBE7" sheet="1" objects="1" scenarios="1"/>
  <mergeCells count="15">
    <mergeCell ref="BF125:BH125"/>
    <mergeCell ref="BJ125:BL125"/>
    <mergeCell ref="A55:E55"/>
    <mergeCell ref="A87:K89"/>
    <mergeCell ref="A96:C96"/>
    <mergeCell ref="A97:C97"/>
    <mergeCell ref="A99:B99"/>
    <mergeCell ref="A2:C2"/>
    <mergeCell ref="H2:M2"/>
    <mergeCell ref="H3:M3"/>
    <mergeCell ref="BB125:BD125"/>
    <mergeCell ref="A71:E71"/>
    <mergeCell ref="A3:C3"/>
    <mergeCell ref="A4:C4"/>
    <mergeCell ref="A102:B102"/>
  </mergeCells>
  <printOptions/>
  <pageMargins left="0.75" right="0" top="0" bottom="0" header="0.5" footer="0.5"/>
  <pageSetup fitToHeight="1" fitToWidth="1" horizontalDpi="600" verticalDpi="600" orientation="portrait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Electrolux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J.CHANDLER</dc:creator>
  <cp:keywords/>
  <dc:description/>
  <cp:lastModifiedBy>Ward</cp:lastModifiedBy>
  <cp:lastPrinted>2005-05-16T13:12:16Z</cp:lastPrinted>
  <dcterms:created xsi:type="dcterms:W3CDTF">1997-11-24T14:11:41Z</dcterms:created>
  <dcterms:modified xsi:type="dcterms:W3CDTF">2008-11-18T03:05:39Z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1400402483</vt:i4>
  </property>
  <property fmtid="{D5CDD505-2E9C-101B-9397-08002B2CF9AE}" pid="3" name="_EmailSubject">
    <vt:lpwstr>EM / Lighthouse Motor Options</vt:lpwstr>
  </property>
  <property fmtid="{D5CDD505-2E9C-101B-9397-08002B2CF9AE}" pid="4" name="_AuthorEmail">
    <vt:lpwstr>JJohnson@electromtr.com</vt:lpwstr>
  </property>
  <property fmtid="{D5CDD505-2E9C-101B-9397-08002B2CF9AE}" pid="5" name="_AuthorEmailDisplayName">
    <vt:lpwstr>Jonathan Johnson</vt:lpwstr>
  </property>
  <property fmtid="{D5CDD505-2E9C-101B-9397-08002B2CF9AE}" pid="6" name="_PreviousAdHocReviewCycleID">
    <vt:i4>-1679408528</vt:i4>
  </property>
  <property fmtid="{D5CDD505-2E9C-101B-9397-08002B2CF9AE}" pid="7" name="_ReviewingToolsShownOnce">
    <vt:lpwstr/>
  </property>
</Properties>
</file>